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_REV\DIRECC_SISTEMAS 2019\"/>
    </mc:Choice>
  </mc:AlternateContent>
  <bookViews>
    <workbookView xWindow="600" yWindow="105" windowWidth="10335" windowHeight="4815"/>
  </bookViews>
  <sheets>
    <sheet name="CUADROS" sheetId="1" r:id="rId1"/>
    <sheet name="COSTOS" sheetId="2" r:id="rId2"/>
    <sheet name="grafico" sheetId="4" r:id="rId3"/>
    <sheet name="ANALISIS" sheetId="5" r:id="rId4"/>
  </sheets>
  <calcPr calcId="152511"/>
</workbook>
</file>

<file path=xl/calcChain.xml><?xml version="1.0" encoding="utf-8"?>
<calcChain xmlns="http://schemas.openxmlformats.org/spreadsheetml/2006/main">
  <c r="E31" i="1" l="1"/>
  <c r="E32" i="1"/>
  <c r="E30" i="1"/>
  <c r="E22" i="1"/>
  <c r="E23" i="1"/>
  <c r="E24" i="1"/>
  <c r="E21" i="1"/>
  <c r="I29" i="1"/>
  <c r="I24" i="1"/>
  <c r="I20" i="1"/>
  <c r="E33" i="1" l="1"/>
  <c r="D59" i="1" s="1"/>
  <c r="D64" i="1"/>
  <c r="E25" i="1" l="1"/>
  <c r="D58" i="1" s="1"/>
  <c r="E15" i="1"/>
  <c r="G5" i="2" l="1"/>
  <c r="G6" i="2" s="1"/>
  <c r="F25" i="2"/>
  <c r="D70" i="1"/>
  <c r="D71" i="1"/>
  <c r="D72" i="1" s="1"/>
  <c r="D68" i="1"/>
  <c r="D46" i="1"/>
  <c r="D45" i="1"/>
  <c r="D43" i="1"/>
  <c r="D47" i="1" s="1"/>
  <c r="D61" i="1" s="1"/>
  <c r="E38" i="1"/>
  <c r="E37" i="1"/>
  <c r="E39" i="1" s="1"/>
  <c r="D60" i="1" s="1"/>
  <c r="E36" i="1"/>
  <c r="E17" i="1"/>
  <c r="E16" i="1"/>
  <c r="E18" i="1" s="1"/>
  <c r="D57" i="1" s="1"/>
  <c r="D63" i="1" s="1"/>
  <c r="F9" i="1"/>
  <c r="F11" i="1"/>
  <c r="G11" i="1" s="1"/>
  <c r="H11" i="1" s="1"/>
  <c r="F10" i="1"/>
  <c r="G10" i="1" s="1"/>
  <c r="H10" i="1" s="1"/>
  <c r="G9" i="1"/>
  <c r="H9" i="1" s="1"/>
  <c r="F8" i="1"/>
  <c r="G8" i="1" s="1"/>
  <c r="H8" i="1" s="1"/>
  <c r="F7" i="1"/>
  <c r="G7" i="1" s="1"/>
  <c r="H7" i="1" s="1"/>
  <c r="H6" i="2" l="1"/>
  <c r="G7" i="2"/>
  <c r="H5" i="2"/>
  <c r="H12" i="1"/>
  <c r="D56" i="1" s="1"/>
  <c r="G8" i="2" l="1"/>
  <c r="H7" i="2"/>
  <c r="D62" i="1"/>
  <c r="G9" i="2" l="1"/>
  <c r="H8" i="2"/>
  <c r="D65" i="1"/>
  <c r="G10" i="2" l="1"/>
  <c r="H9" i="2"/>
  <c r="D67" i="1"/>
  <c r="D74" i="1"/>
  <c r="D75" i="1" s="1"/>
  <c r="D77" i="1" s="1"/>
  <c r="D78" i="1" l="1"/>
  <c r="G11" i="2"/>
  <c r="H10" i="2"/>
  <c r="G12" i="2" l="1"/>
  <c r="H11" i="2"/>
  <c r="G13" i="2" l="1"/>
  <c r="H12" i="2"/>
  <c r="G14" i="2" l="1"/>
  <c r="H13" i="2"/>
  <c r="G15" i="2" l="1"/>
  <c r="H14" i="2"/>
  <c r="G16" i="2" l="1"/>
  <c r="H15" i="2"/>
  <c r="G17" i="2" l="1"/>
  <c r="H16" i="2"/>
  <c r="G18" i="2" l="1"/>
  <c r="H17" i="2"/>
  <c r="G19" i="2" l="1"/>
  <c r="H18" i="2"/>
  <c r="G20" i="2" l="1"/>
  <c r="H19" i="2"/>
  <c r="G21" i="2" l="1"/>
  <c r="H20" i="2"/>
  <c r="G22" i="2" l="1"/>
  <c r="H21" i="2"/>
  <c r="G23" i="2" l="1"/>
  <c r="H22" i="2"/>
  <c r="G24" i="2" l="1"/>
  <c r="H24" i="2" s="1"/>
  <c r="H23" i="2"/>
</calcChain>
</file>

<file path=xl/sharedStrings.xml><?xml version="1.0" encoding="utf-8"?>
<sst xmlns="http://schemas.openxmlformats.org/spreadsheetml/2006/main" count="275" uniqueCount="152">
  <si>
    <r>
      <t>1.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INVERSIONES</t>
    </r>
  </si>
  <si>
    <t>item</t>
  </si>
  <si>
    <t>equipo</t>
  </si>
  <si>
    <t xml:space="preserve">vida util (años) </t>
  </si>
  <si>
    <t>Precio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</si>
  <si>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</si>
  <si>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</si>
  <si>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</si>
  <si>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</si>
  <si>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</si>
  <si>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</si>
  <si>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</si>
  <si>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</si>
  <si>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</si>
  <si>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hornos solares de secado</t>
  </si>
  <si>
    <t>d</t>
  </si>
  <si>
    <t>camión de 5 ton.</t>
  </si>
  <si>
    <t>e</t>
  </si>
  <si>
    <t>Equipos de oficina</t>
  </si>
  <si>
    <t>total 1 Bs.</t>
  </si>
  <si>
    <r>
      <t>2.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 MATERIA PRIMA</t>
    </r>
  </si>
  <si>
    <t>detalle</t>
  </si>
  <si>
    <t>cant.</t>
  </si>
  <si>
    <t>precio unit.</t>
  </si>
  <si>
    <t>Costo total/mes Bs</t>
  </si>
  <si>
    <t>carne para procesar en Kgs/mes</t>
  </si>
  <si>
    <t xml:space="preserve"> b</t>
  </si>
  <si>
    <t>insumos (sal, conservantes)</t>
  </si>
  <si>
    <t>2 Bs/kg</t>
  </si>
  <si>
    <t>faenado del ganado (llamas)</t>
  </si>
  <si>
    <t>50 Bs/uniid</t>
  </si>
  <si>
    <t>total 2 Bs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</si>
  <si>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</t>
    </r>
  </si>
  <si>
    <t>cantidad</t>
  </si>
  <si>
    <t>salario/mes Bs</t>
  </si>
  <si>
    <t>Operarios (obreros)</t>
  </si>
  <si>
    <t>faenadores</t>
  </si>
  <si>
    <t>Ing. Veterinario - gerente</t>
  </si>
  <si>
    <t>ing. Comercial Jr.</t>
  </si>
  <si>
    <t>personal administrativo</t>
  </si>
  <si>
    <t>total  3 Bs.</t>
  </si>
  <si>
    <t>Bs/unid.</t>
  </si>
  <si>
    <t>Bs/mes</t>
  </si>
  <si>
    <t>venta de lana y cuero</t>
  </si>
  <si>
    <t>Bs.</t>
  </si>
  <si>
    <t>energía eléctrica</t>
  </si>
  <si>
    <t xml:space="preserve">certif. De inocuidad se tramita 1 vez/año  </t>
  </si>
  <si>
    <t xml:space="preserve">servicios básicos </t>
  </si>
  <si>
    <r>
      <t>PRACTICA:</t>
    </r>
    <r>
      <rPr>
        <sz val="10"/>
        <color theme="1"/>
        <rFont val="Arial Narrow"/>
        <family val="2"/>
      </rPr>
      <t xml:space="preserve">  Se produce carne deshidratada en Turco – Oruro para exportar al mercado de España.  El contrato es para suministro por  2 años y el producto se requiere máximo en 3 meses. La capacidad de procesamiento de la planta es de 3000 kgs./ mes. Los datos del proyecto estan dados en letras negras.</t>
    </r>
  </si>
  <si>
    <t>SOLUCION: la solución esta dada en letras rojas.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</si>
  <si>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MOD</t>
    </r>
  </si>
  <si>
    <t>clasificadores</t>
  </si>
  <si>
    <t>embasadores</t>
  </si>
  <si>
    <r>
      <t>4.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MOI</t>
    </r>
  </si>
  <si>
    <t>total 4 Bs</t>
  </si>
  <si>
    <r>
      <t>5.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INGRESOS OPERATIVOS POR VENTAS</t>
    </r>
  </si>
  <si>
    <r>
      <t>6.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COSTOS OPERATIVOS</t>
    </r>
  </si>
  <si>
    <t>venta de abono en qq</t>
  </si>
  <si>
    <t>venta de visceras y huesos en kgs.</t>
  </si>
  <si>
    <t>sellado al vacío.</t>
  </si>
  <si>
    <t xml:space="preserve"> 0,5 Bs/kg</t>
  </si>
  <si>
    <t>capacitaciones Bs/año</t>
  </si>
  <si>
    <t>total 5</t>
  </si>
  <si>
    <t> Total 6</t>
  </si>
  <si>
    <t>SOLUCION:</t>
  </si>
  <si>
    <t>1.-</t>
  </si>
  <si>
    <t>Llenamos las casillas con numeros rojos según formulas que estan en el excel.</t>
  </si>
  <si>
    <t>2.-</t>
  </si>
  <si>
    <t>TOTAL Bs.</t>
  </si>
  <si>
    <t>8. IMPUESTOS Y TASAS</t>
  </si>
  <si>
    <t>7. GASTOS ADMINISTRATIVOS</t>
  </si>
  <si>
    <r>
      <t>1.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INVERSIONES</t>
    </r>
  </si>
  <si>
    <r>
      <t>2.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 MATERIA PRIMA</t>
    </r>
  </si>
  <si>
    <r>
      <t>3.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MOD</t>
    </r>
  </si>
  <si>
    <r>
      <t>4.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MOI</t>
    </r>
  </si>
  <si>
    <r>
      <t>5.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INGRESOS OPERATIVOS POR VENTAS</t>
    </r>
  </si>
  <si>
    <r>
      <t>6.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COSTOS OPERATIVOS</t>
    </r>
  </si>
  <si>
    <t>A)</t>
  </si>
  <si>
    <t>Costo unitario exwork</t>
  </si>
  <si>
    <t>Bs/kg</t>
  </si>
  <si>
    <t>Cantidad de contenedores necesarios:</t>
  </si>
  <si>
    <t>B.1)</t>
  </si>
  <si>
    <t>B.2)</t>
  </si>
  <si>
    <t>Costos de transporte:</t>
  </si>
  <si>
    <t xml:space="preserve"> - camión Or-Cbba.</t>
  </si>
  <si>
    <t xml:space="preserve"> - avión Cbba.-Madrid</t>
  </si>
  <si>
    <t>COSTO TOTAL PUESTO EN MADRID Bs.</t>
  </si>
  <si>
    <t>COSTO TOT. POR KG. PUESTO EN MADRID Bs.</t>
  </si>
  <si>
    <t>C)</t>
  </si>
  <si>
    <t>PRECIO DE VENTA:</t>
  </si>
  <si>
    <t>Se planifica una ganancia del 50% Bs.</t>
  </si>
  <si>
    <r>
      <t>7.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GASTOS ADMINISTRATIVOS = 5% DE 2+3+4+5</t>
    </r>
  </si>
  <si>
    <t>D)</t>
  </si>
  <si>
    <t>E)</t>
  </si>
  <si>
    <t>EJEMPLO - DETERMINACION DE COSTOS EXPORTACION DE CHARQUE DE LLAMA.</t>
  </si>
  <si>
    <t>H. Oviedo B - DOCENTE</t>
  </si>
  <si>
    <t>DETALLE DE COSTOS MENSUALES</t>
  </si>
  <si>
    <t>costo/mes Bs</t>
  </si>
  <si>
    <t>RESUMEN COSTOS</t>
  </si>
  <si>
    <t>2.- ORDENAMIENTO</t>
  </si>
  <si>
    <t>VALOR</t>
  </si>
  <si>
    <t>FREC.</t>
  </si>
  <si>
    <t>valor</t>
  </si>
  <si>
    <t>Valor</t>
  </si>
  <si>
    <t>% frec.</t>
  </si>
  <si>
    <t>OJO!!! Según datos, de los 3000 kgs. De carne inical solo se obtiene el 60% debido a la deshidratación, entonces en este punto el sellado únicamente es de 3000*0,60 = 1800 Kgs.</t>
  </si>
  <si>
    <t>QUE ACCIONES DEBO TOMAR PARA HACER COMPETITIVO MI PRODUCTO???</t>
  </si>
  <si>
    <t>Mediante el diagrama de Pareto obtengo el 20% Vital donde puedo mejor actuar.</t>
  </si>
  <si>
    <t>ANALISIS: En cuál de estos ítemes es posible generar acciones para BAJAR MIS COSTOS</t>
  </si>
  <si>
    <t>y competir en el mercado europeo?</t>
  </si>
  <si>
    <t>POSIBILIDADES DE EFICIENCIA</t>
  </si>
  <si>
    <t>Solo puedo negociar con los proveedores locales para bajar el precio por Kg. Ya que los dueños me entregan el hato de ganado en el matadero; no hay muchas más acciones que se pueda hacer</t>
  </si>
  <si>
    <t>Idem, es posible reestructurar los roles y asignar nuevas labores al resto del personal.</t>
  </si>
  <si>
    <t>Idem a 4.</t>
  </si>
  <si>
    <t>OTRAS OPCIONES:</t>
  </si>
  <si>
    <t xml:space="preserve"> - Bajar la utilidad, si bien estamos incursionando en un nuevo mercado, es posible</t>
  </si>
  <si>
    <t xml:space="preserve">HAGAN LOS DIFERENTES EJERCICIOS CAMBIANDO LOS DATOS Y AUTOMÁTICAMENTE POR LAS </t>
  </si>
  <si>
    <t>FÓRMULAS DEL EXCEL, CAMBIARÁ EL PRECIO DE VENTA EN MADRID. EJM:</t>
  </si>
  <si>
    <t xml:space="preserve"> - Disminuimos los operarios a 4 personas, y tambien los embasadores a 1</t>
  </si>
  <si>
    <t xml:space="preserve"> - Bajamos el personal administrativo a 1 persona</t>
  </si>
  <si>
    <t xml:space="preserve"> - Negociamos con los proveedores para bajar en 1 Bs. El Kg de carne</t>
  </si>
  <si>
    <t xml:space="preserve"> ya es posible competir. Adicionalmente podemos después trabajar en eficiencias </t>
  </si>
  <si>
    <t>analizando el 80% trivial; ejm. energía eléctrica; insumos, gastos administrativos etc.</t>
  </si>
  <si>
    <t>TOTAL GENERAL Bs.</t>
  </si>
  <si>
    <t>TOTAL TRANSPORTE Bs.</t>
  </si>
  <si>
    <t>Precio de venta en Euros</t>
  </si>
  <si>
    <t xml:space="preserve"> - Disminuimos nuestra utilidad a un 30%.</t>
  </si>
  <si>
    <t xml:space="preserve">HACIENDO ESTOS CAMBIOS LLEGAMOS A UN PRECIO DE VENTA DE 11.42 E !!!!!, </t>
  </si>
  <si>
    <r>
      <t>PREGUNTAS:</t>
    </r>
    <r>
      <rPr>
        <sz val="10"/>
        <color theme="1"/>
        <rFont val="Arial Narrow"/>
        <family val="2"/>
      </rPr>
      <t xml:space="preserve"> A) Si el producto final que se obtiene al deshidratarse la carne ES UN 60% DEL PRODUCTO INICIAL en peso. Cual es el costo de producción por unidad de charque ex work?.   B) El producto embasamos en bolsas de 1 kg, y lo embarcamos en el aeropuerto de Cochabamba en contenedores para envío por avión y en cada contenedor cabe 300 bolsas. B1) cuantos contenedores necesitamos para enviar la producción de 1 mes? . B2) Si el costo de transporte de los 1800 kg en camión a Cbba. Es de Bs. 1,20 /kg ; y de un  contenedor de Cbba. hasta Madrid es de US$ 450. Cual será el precio de 1 kg. Puesto en Madrid?.  C) la empresa planifica una ganancia de un 50% sobre el costo puesto en Madrid, cual será el precio de venta en Euros? (1 E=8,5 Bs).  D) El producto peruano de la misma calidad cuesta en Madrid 12,5 E la bolsa de 1 Kg. Es competitivo el precio de nuestro producto?. E) Si no fuera competitivo, aplique la espina de pez al ítem más relevante (donde pueda generar economías).</t>
    </r>
  </si>
  <si>
    <t>costo empresa/Bs MES</t>
  </si>
  <si>
    <r>
      <t>8.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IMPUESTOS Y TASAS = 13,5%  DE 5</t>
    </r>
  </si>
  <si>
    <t>No es competitivo el precio de nuestro producto frente a la oferta peruana que cuesta 12.5 E el Kg.!!!!</t>
  </si>
  <si>
    <t>No puedo bajar el sueldo de los ejecutivos pero si evitar el doble aguinaldo. Osea la incidencia del costo empresa será menos 8%</t>
  </si>
  <si>
    <t>Acá puedo generar eficiencias disminuyendo la cantidad de personas y reasignando labores. No puedo bajar sueldos, se pagará 2 aguinaldos</t>
  </si>
  <si>
    <t>inicialmente "sacrificar" la utilidad hasta posicionarse mejor. Ejm, bajando la utilidad a un 30%</t>
  </si>
  <si>
    <t xml:space="preserve"> - No pagamos doble aguinaldo a ejecutivos MOI</t>
  </si>
  <si>
    <t>OR-23 OCT 2018</t>
  </si>
  <si>
    <t>ACUM.</t>
  </si>
  <si>
    <t>No es posible hacer mucho en este ítem, pero si negociar el doble aguinaldo.</t>
  </si>
  <si>
    <t>costo empresa/Bs MES *</t>
  </si>
  <si>
    <t xml:space="preserve"> * = SE CONSIDERA EL PAGO DE DOBLE AGUINALDO</t>
  </si>
  <si>
    <t>CUADRO RESUMEN COSTOS:</t>
  </si>
  <si>
    <t>AFP</t>
  </si>
  <si>
    <t>APORTE SOLIDARIO</t>
  </si>
  <si>
    <t>SEGURO</t>
  </si>
  <si>
    <t>APORTE PATRONAL SOLID</t>
  </si>
  <si>
    <t>RIESGO PROF</t>
  </si>
  <si>
    <t>INFOCAL</t>
  </si>
  <si>
    <t>ANTIGÜEDAD</t>
  </si>
  <si>
    <t>AGUINALDO</t>
  </si>
  <si>
    <t>INDEMINIZAC</t>
  </si>
  <si>
    <t>PREV. VACAC.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</si>
</sst>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7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95">
    <xf numFmtId="0" fontId="0" fillId="0" borderId="0" xfId="0"/>
    <xf numFmtId="0" fontId="3" fillId="0" borderId="0" xfId="0" applyFont="1" applyAlignment="1">
      <alignment horizontal="left" indent="5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10" fillId="0" borderId="1" xfId="0" applyFont="1" applyBorder="1" applyAlignment="1">
      <alignment horizontal="right"/>
    </xf>
    <xf numFmtId="2" fontId="10" fillId="0" borderId="2" xfId="0" applyNumberFormat="1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9" fillId="0" borderId="3" xfId="0" applyNumberFormat="1" applyFont="1" applyBorder="1"/>
    <xf numFmtId="0" fontId="10" fillId="0" borderId="2" xfId="0" applyFont="1" applyBorder="1"/>
    <xf numFmtId="0" fontId="9" fillId="0" borderId="3" xfId="0" applyFont="1" applyBorder="1" applyAlignment="1">
      <alignment horizontal="right"/>
    </xf>
    <xf numFmtId="2" fontId="10" fillId="0" borderId="0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0" xfId="0" applyAlignment="1">
      <alignment horizontal="center" wrapText="1"/>
    </xf>
    <xf numFmtId="2" fontId="0" fillId="0" borderId="3" xfId="0" applyNumberFormat="1" applyBorder="1"/>
    <xf numFmtId="0" fontId="0" fillId="0" borderId="0" xfId="0" applyAlignment="1">
      <alignment horizontal="center"/>
    </xf>
    <xf numFmtId="0" fontId="7" fillId="2" borderId="3" xfId="0" applyFont="1" applyFill="1" applyBorder="1"/>
    <xf numFmtId="164" fontId="0" fillId="2" borderId="3" xfId="0" applyNumberFormat="1" applyFill="1" applyBorder="1"/>
    <xf numFmtId="2" fontId="0" fillId="2" borderId="3" xfId="0" applyNumberFormat="1" applyFill="1" applyBorder="1"/>
    <xf numFmtId="0" fontId="18" fillId="0" borderId="0" xfId="2"/>
    <xf numFmtId="1" fontId="19" fillId="0" borderId="0" xfId="2" applyNumberFormat="1" applyFont="1"/>
    <xf numFmtId="0" fontId="22" fillId="0" borderId="0" xfId="2" applyFont="1"/>
    <xf numFmtId="0" fontId="21" fillId="0" borderId="0" xfId="2" applyFont="1" applyAlignment="1">
      <alignment horizontal="center"/>
    </xf>
    <xf numFmtId="0" fontId="21" fillId="0" borderId="0" xfId="2" applyFont="1" applyFill="1" applyAlignment="1">
      <alignment horizontal="center"/>
    </xf>
    <xf numFmtId="1" fontId="21" fillId="0" borderId="0" xfId="2" applyNumberFormat="1" applyFont="1" applyFill="1"/>
    <xf numFmtId="2" fontId="23" fillId="0" borderId="0" xfId="2" applyNumberFormat="1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/>
    <xf numFmtId="2" fontId="13" fillId="3" borderId="7" xfId="0" applyNumberFormat="1" applyFont="1" applyFill="1" applyBorder="1"/>
    <xf numFmtId="0" fontId="0" fillId="0" borderId="3" xfId="0" applyBorder="1"/>
    <xf numFmtId="0" fontId="27" fillId="0" borderId="3" xfId="0" applyFont="1" applyBorder="1" applyAlignment="1">
      <alignment wrapText="1"/>
    </xf>
    <xf numFmtId="0" fontId="28" fillId="0" borderId="0" xfId="0" applyFont="1" applyFill="1" applyBorder="1"/>
    <xf numFmtId="0" fontId="11" fillId="4" borderId="0" xfId="0" applyFont="1" applyFill="1"/>
    <xf numFmtId="2" fontId="11" fillId="0" borderId="3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/>
    <xf numFmtId="2" fontId="13" fillId="0" borderId="3" xfId="0" applyNumberFormat="1" applyFont="1" applyBorder="1"/>
    <xf numFmtId="0" fontId="7" fillId="2" borderId="3" xfId="0" applyFont="1" applyFill="1" applyBorder="1" applyAlignment="1">
      <alignment horizontal="right"/>
    </xf>
    <xf numFmtId="2" fontId="29" fillId="5" borderId="0" xfId="0" applyNumberFormat="1" applyFont="1" applyFill="1"/>
    <xf numFmtId="0" fontId="29" fillId="5" borderId="0" xfId="0" applyFont="1" applyFill="1"/>
    <xf numFmtId="0" fontId="6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0" fontId="7" fillId="0" borderId="5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3" fillId="2" borderId="0" xfId="0" applyNumberFormat="1" applyFont="1" applyFill="1"/>
    <xf numFmtId="0" fontId="13" fillId="0" borderId="0" xfId="0" applyFont="1"/>
    <xf numFmtId="0" fontId="7" fillId="2" borderId="5" xfId="0" applyFont="1" applyFill="1" applyBorder="1" applyAlignment="1">
      <alignment horizontal="right"/>
    </xf>
    <xf numFmtId="0" fontId="30" fillId="0" borderId="0" xfId="0" applyFont="1"/>
    <xf numFmtId="2" fontId="30" fillId="0" borderId="0" xfId="0" applyNumberFormat="1" applyFont="1"/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9" fillId="5" borderId="0" xfId="0" applyFont="1" applyFill="1" applyAlignment="1">
      <alignment horizontal="right"/>
    </xf>
    <xf numFmtId="0" fontId="9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/>
    </xf>
    <xf numFmtId="0" fontId="31" fillId="2" borderId="4" xfId="0" applyFont="1" applyFill="1" applyBorder="1" applyAlignment="1"/>
    <xf numFmtId="0" fontId="31" fillId="2" borderId="0" xfId="0" applyFont="1" applyFill="1" applyAlignment="1"/>
    <xf numFmtId="0" fontId="31" fillId="2" borderId="0" xfId="0" applyFont="1" applyFill="1"/>
    <xf numFmtId="0" fontId="31" fillId="6" borderId="4" xfId="0" applyFont="1" applyFill="1" applyBorder="1" applyAlignment="1"/>
    <xf numFmtId="0" fontId="31" fillId="6" borderId="0" xfId="0" applyFont="1" applyFill="1" applyAlignment="1"/>
    <xf numFmtId="0" fontId="31" fillId="6" borderId="0" xfId="0" applyFont="1" applyFill="1"/>
    <xf numFmtId="165" fontId="31" fillId="6" borderId="0" xfId="0" applyNumberFormat="1" applyFont="1" applyFill="1"/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13</xdr:row>
      <xdr:rowOff>314325</xdr:rowOff>
    </xdr:from>
    <xdr:to>
      <xdr:col>6</xdr:col>
      <xdr:colOff>619126</xdr:colOff>
      <xdr:row>15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00551" y="3162300"/>
          <a:ext cx="1295400" cy="247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= PRODUCTO INICIAL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16" zoomScaleNormal="100" workbookViewId="0">
      <selection activeCell="E33" sqref="E33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1.28515625" customWidth="1"/>
    <col min="4" max="4" width="10.42578125" customWidth="1"/>
    <col min="5" max="5" width="11.140625" bestFit="1" customWidth="1"/>
    <col min="7" max="7" width="11.42578125" customWidth="1"/>
  </cols>
  <sheetData>
    <row r="1" spans="1:12" x14ac:dyDescent="0.25">
      <c r="A1" s="3" t="s">
        <v>94</v>
      </c>
    </row>
    <row r="2" spans="1:12" ht="42.75" customHeight="1" x14ac:dyDescent="0.3">
      <c r="A2" s="83" t="s">
        <v>48</v>
      </c>
      <c r="B2" s="83"/>
      <c r="C2" s="83"/>
      <c r="D2" s="83"/>
      <c r="E2" s="83"/>
      <c r="F2" s="83"/>
      <c r="G2" s="83"/>
      <c r="H2" s="83"/>
      <c r="I2" s="4"/>
      <c r="J2" s="4"/>
      <c r="K2" s="4"/>
      <c r="L2" s="4"/>
    </row>
    <row r="3" spans="1:12" ht="96" customHeight="1" x14ac:dyDescent="0.3">
      <c r="A3" s="83" t="s">
        <v>128</v>
      </c>
      <c r="B3" s="83"/>
      <c r="C3" s="83"/>
      <c r="D3" s="83"/>
      <c r="E3" s="83"/>
      <c r="F3" s="83"/>
      <c r="G3" s="83"/>
      <c r="H3" s="83"/>
      <c r="I3" s="4"/>
      <c r="J3" s="4"/>
      <c r="K3" s="4"/>
      <c r="L3" s="4"/>
    </row>
    <row r="4" spans="1:12" ht="17.25" customHeight="1" x14ac:dyDescent="0.3">
      <c r="A4" s="84" t="s">
        <v>49</v>
      </c>
      <c r="B4" s="84"/>
      <c r="C4" s="84"/>
      <c r="D4" s="84"/>
      <c r="E4" s="84"/>
      <c r="F4" s="84"/>
      <c r="G4" s="84"/>
      <c r="H4" s="84"/>
      <c r="I4" s="4"/>
      <c r="J4" s="4"/>
      <c r="K4" s="4"/>
      <c r="L4" s="4"/>
    </row>
    <row r="5" spans="1:12" x14ac:dyDescent="0.25">
      <c r="A5" s="1"/>
      <c r="B5" s="17" t="s">
        <v>0</v>
      </c>
    </row>
    <row r="6" spans="1:12" ht="26.2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12" x14ac:dyDescent="0.25">
      <c r="A7" s="6" t="s">
        <v>9</v>
      </c>
      <c r="B7" s="6" t="s">
        <v>10</v>
      </c>
      <c r="C7" s="7">
        <v>30</v>
      </c>
      <c r="D7" s="8">
        <v>50000</v>
      </c>
      <c r="E7" s="9">
        <v>0.05</v>
      </c>
      <c r="F7" s="11">
        <f>D7-D7*E7</f>
        <v>47500</v>
      </c>
      <c r="G7" s="12">
        <f>F7/C7</f>
        <v>1583.3333333333333</v>
      </c>
      <c r="H7" s="13">
        <f>G7*6.96/12</f>
        <v>918.33333333333337</v>
      </c>
    </row>
    <row r="8" spans="1:12" x14ac:dyDescent="0.25">
      <c r="A8" s="6" t="s">
        <v>11</v>
      </c>
      <c r="B8" s="6" t="s">
        <v>12</v>
      </c>
      <c r="C8" s="7">
        <v>10</v>
      </c>
      <c r="D8" s="8">
        <v>30000</v>
      </c>
      <c r="E8" s="8">
        <v>5000</v>
      </c>
      <c r="F8" s="11">
        <f>D8-E8</f>
        <v>25000</v>
      </c>
      <c r="G8" s="11">
        <f>F8/C8</f>
        <v>2500</v>
      </c>
      <c r="H8" s="13">
        <f t="shared" ref="H8:H11" si="0">G8*6.96/12</f>
        <v>1450</v>
      </c>
    </row>
    <row r="9" spans="1:12" x14ac:dyDescent="0.25">
      <c r="A9" s="6" t="s">
        <v>13</v>
      </c>
      <c r="B9" s="6" t="s">
        <v>14</v>
      </c>
      <c r="C9" s="7">
        <v>8</v>
      </c>
      <c r="D9" s="8">
        <v>8000</v>
      </c>
      <c r="E9" s="9">
        <v>0.1</v>
      </c>
      <c r="F9" s="12">
        <f>D9-D9*E9</f>
        <v>7200</v>
      </c>
      <c r="G9" s="11">
        <f>F9/C9</f>
        <v>900</v>
      </c>
      <c r="H9" s="13">
        <f t="shared" si="0"/>
        <v>522</v>
      </c>
    </row>
    <row r="10" spans="1:12" x14ac:dyDescent="0.25">
      <c r="A10" s="6" t="s">
        <v>15</v>
      </c>
      <c r="B10" s="6" t="s">
        <v>16</v>
      </c>
      <c r="C10" s="7">
        <v>10</v>
      </c>
      <c r="D10" s="8">
        <v>35000</v>
      </c>
      <c r="E10" s="8">
        <v>5000</v>
      </c>
      <c r="F10" s="11">
        <f>D10-E10</f>
        <v>30000</v>
      </c>
      <c r="G10" s="11">
        <f>F10/C10</f>
        <v>3000</v>
      </c>
      <c r="H10" s="13">
        <f t="shared" si="0"/>
        <v>1740</v>
      </c>
    </row>
    <row r="11" spans="1:12" x14ac:dyDescent="0.25">
      <c r="A11" s="6" t="s">
        <v>17</v>
      </c>
      <c r="B11" s="6" t="s">
        <v>18</v>
      </c>
      <c r="C11" s="7">
        <v>3</v>
      </c>
      <c r="D11" s="8">
        <v>5000</v>
      </c>
      <c r="E11" s="8">
        <v>0</v>
      </c>
      <c r="F11" s="11">
        <f>D11-E11</f>
        <v>5000</v>
      </c>
      <c r="G11" s="20">
        <f>F11/C11</f>
        <v>1666.6666666666667</v>
      </c>
      <c r="H11" s="13">
        <f t="shared" si="0"/>
        <v>966.66666666666663</v>
      </c>
    </row>
    <row r="12" spans="1:12" ht="15.75" thickBot="1" x14ac:dyDescent="0.3">
      <c r="A12" s="2"/>
      <c r="B12" s="2"/>
      <c r="C12" s="2"/>
      <c r="D12" s="2"/>
      <c r="E12" s="2"/>
      <c r="F12" s="2"/>
      <c r="G12" s="14" t="s">
        <v>19</v>
      </c>
      <c r="H12" s="15">
        <f>SUM(H7:H11)</f>
        <v>5597.0000000000009</v>
      </c>
    </row>
    <row r="13" spans="1:12" x14ac:dyDescent="0.25">
      <c r="A13" s="1"/>
      <c r="B13" s="17" t="s">
        <v>20</v>
      </c>
    </row>
    <row r="14" spans="1:12" ht="26.25" x14ac:dyDescent="0.25">
      <c r="A14" s="5" t="s">
        <v>1</v>
      </c>
      <c r="B14" s="5" t="s">
        <v>21</v>
      </c>
      <c r="C14" s="5" t="s">
        <v>22</v>
      </c>
      <c r="D14" s="5" t="s">
        <v>23</v>
      </c>
      <c r="E14" s="5" t="s">
        <v>24</v>
      </c>
    </row>
    <row r="15" spans="1:12" x14ac:dyDescent="0.25">
      <c r="A15" s="6" t="s">
        <v>9</v>
      </c>
      <c r="B15" s="6" t="s">
        <v>25</v>
      </c>
      <c r="C15" s="8">
        <v>3000</v>
      </c>
      <c r="D15" s="34">
        <v>20</v>
      </c>
      <c r="E15" s="11">
        <f>D15*C15</f>
        <v>60000</v>
      </c>
    </row>
    <row r="16" spans="1:12" x14ac:dyDescent="0.25">
      <c r="A16" s="6" t="s">
        <v>26</v>
      </c>
      <c r="B16" s="6" t="s">
        <v>27</v>
      </c>
      <c r="C16" s="16"/>
      <c r="D16" s="6" t="s">
        <v>28</v>
      </c>
      <c r="E16" s="11">
        <f>3000*2</f>
        <v>6000</v>
      </c>
    </row>
    <row r="17" spans="1:9" x14ac:dyDescent="0.25">
      <c r="A17" s="6" t="s">
        <v>13</v>
      </c>
      <c r="B17" s="6" t="s">
        <v>29</v>
      </c>
      <c r="C17" s="8">
        <v>60</v>
      </c>
      <c r="D17" s="6" t="s">
        <v>30</v>
      </c>
      <c r="E17" s="11">
        <f>60*50</f>
        <v>3000</v>
      </c>
    </row>
    <row r="18" spans="1:9" ht="15.75" thickBot="1" x14ac:dyDescent="0.3">
      <c r="A18" s="2"/>
      <c r="B18" s="2"/>
      <c r="C18" s="2"/>
      <c r="D18" s="14" t="s">
        <v>31</v>
      </c>
      <c r="E18" s="21">
        <f>SUM(E15:E17)</f>
        <v>69000</v>
      </c>
    </row>
    <row r="19" spans="1:9" x14ac:dyDescent="0.25">
      <c r="A19" s="1" t="s">
        <v>32</v>
      </c>
      <c r="B19" s="17" t="s">
        <v>50</v>
      </c>
      <c r="G19" s="88">
        <v>12.21</v>
      </c>
      <c r="H19" s="89" t="s">
        <v>142</v>
      </c>
      <c r="I19" s="90"/>
    </row>
    <row r="20" spans="1:9" ht="39" x14ac:dyDescent="0.25">
      <c r="A20" s="5" t="s">
        <v>1</v>
      </c>
      <c r="B20" s="5" t="s">
        <v>21</v>
      </c>
      <c r="C20" s="5" t="s">
        <v>33</v>
      </c>
      <c r="D20" s="63" t="s">
        <v>34</v>
      </c>
      <c r="E20" s="5" t="s">
        <v>139</v>
      </c>
      <c r="F20" s="65"/>
      <c r="G20" s="88">
        <v>0.5</v>
      </c>
      <c r="H20" s="89" t="s">
        <v>143</v>
      </c>
      <c r="I20" s="90">
        <f>SUM(G19:G20)</f>
        <v>12.71</v>
      </c>
    </row>
    <row r="21" spans="1:9" x14ac:dyDescent="0.25">
      <c r="A21" s="6" t="s">
        <v>9</v>
      </c>
      <c r="B21" s="6" t="s">
        <v>35</v>
      </c>
      <c r="C21" s="60">
        <v>4</v>
      </c>
      <c r="D21" s="70">
        <v>2400</v>
      </c>
      <c r="E21" s="11">
        <f>D21*C21*1.54</f>
        <v>14784</v>
      </c>
      <c r="F21" s="66"/>
      <c r="G21" s="91">
        <v>10</v>
      </c>
      <c r="H21" s="92" t="s">
        <v>144</v>
      </c>
      <c r="I21" s="93"/>
    </row>
    <row r="22" spans="1:9" x14ac:dyDescent="0.25">
      <c r="A22" s="6" t="s">
        <v>11</v>
      </c>
      <c r="B22" s="6" t="s">
        <v>36</v>
      </c>
      <c r="C22" s="8">
        <v>2</v>
      </c>
      <c r="D22" s="70">
        <v>3500</v>
      </c>
      <c r="E22" s="11">
        <f t="shared" ref="E22:E24" si="1">D22*C22*1.54</f>
        <v>10780</v>
      </c>
      <c r="F22" s="66"/>
      <c r="G22" s="91">
        <v>3</v>
      </c>
      <c r="H22" s="92" t="s">
        <v>145</v>
      </c>
      <c r="I22" s="93"/>
    </row>
    <row r="23" spans="1:9" x14ac:dyDescent="0.25">
      <c r="A23" s="6" t="s">
        <v>13</v>
      </c>
      <c r="B23" s="6" t="s">
        <v>51</v>
      </c>
      <c r="C23" s="8">
        <v>2</v>
      </c>
      <c r="D23" s="70">
        <v>2700</v>
      </c>
      <c r="E23" s="11">
        <f t="shared" si="1"/>
        <v>8316</v>
      </c>
      <c r="F23" s="66"/>
      <c r="G23" s="91">
        <v>2</v>
      </c>
      <c r="H23" s="92" t="s">
        <v>146</v>
      </c>
      <c r="I23" s="93"/>
    </row>
    <row r="24" spans="1:9" x14ac:dyDescent="0.25">
      <c r="A24" s="6" t="s">
        <v>15</v>
      </c>
      <c r="B24" s="6" t="s">
        <v>52</v>
      </c>
      <c r="C24" s="60">
        <v>2</v>
      </c>
      <c r="D24" s="70">
        <v>2500</v>
      </c>
      <c r="E24" s="11">
        <f t="shared" si="1"/>
        <v>7700</v>
      </c>
      <c r="F24" s="66"/>
      <c r="G24" s="91">
        <v>1.71</v>
      </c>
      <c r="H24" s="92" t="s">
        <v>147</v>
      </c>
      <c r="I24" s="93">
        <f>SUM(G21:G28)</f>
        <v>45.78</v>
      </c>
    </row>
    <row r="25" spans="1:9" ht="15.75" thickBot="1" x14ac:dyDescent="0.3">
      <c r="A25" s="2"/>
      <c r="B25" s="2"/>
      <c r="C25" s="2"/>
      <c r="D25" s="64" t="s">
        <v>40</v>
      </c>
      <c r="E25" s="71">
        <f>SUM(E21:E24)</f>
        <v>41580</v>
      </c>
      <c r="F25" s="67"/>
      <c r="G25" s="94">
        <v>4.17</v>
      </c>
      <c r="H25" s="94" t="s">
        <v>148</v>
      </c>
      <c r="I25" s="93"/>
    </row>
    <row r="26" spans="1:9" x14ac:dyDescent="0.25">
      <c r="A26" s="2" t="s">
        <v>140</v>
      </c>
      <c r="B26" s="2"/>
      <c r="C26" s="2"/>
      <c r="D26" s="2"/>
      <c r="E26" s="18"/>
      <c r="F26" s="19"/>
      <c r="G26" s="94">
        <v>8.3000000000000007</v>
      </c>
      <c r="H26" s="94" t="s">
        <v>149</v>
      </c>
      <c r="I26" s="93"/>
    </row>
    <row r="27" spans="1:9" x14ac:dyDescent="0.25">
      <c r="A27" s="2"/>
      <c r="B27" s="2"/>
      <c r="C27" s="2"/>
      <c r="D27" s="2"/>
      <c r="E27" s="18"/>
      <c r="F27" s="19"/>
      <c r="G27" s="94">
        <v>8.3000000000000007</v>
      </c>
      <c r="H27" s="94" t="s">
        <v>150</v>
      </c>
      <c r="I27" s="93"/>
    </row>
    <row r="28" spans="1:9" x14ac:dyDescent="0.25">
      <c r="A28" s="2"/>
      <c r="B28" s="17" t="s">
        <v>53</v>
      </c>
      <c r="C28" s="2"/>
      <c r="D28" s="2"/>
      <c r="E28" s="18"/>
      <c r="F28" s="19"/>
      <c r="G28" s="94">
        <v>8.3000000000000007</v>
      </c>
      <c r="H28" s="94" t="s">
        <v>151</v>
      </c>
      <c r="I28" s="93"/>
    </row>
    <row r="29" spans="1:9" ht="39" x14ac:dyDescent="0.25">
      <c r="A29" s="5" t="s">
        <v>1</v>
      </c>
      <c r="B29" s="5" t="s">
        <v>21</v>
      </c>
      <c r="C29" s="5" t="s">
        <v>33</v>
      </c>
      <c r="D29" s="63" t="s">
        <v>34</v>
      </c>
      <c r="E29" s="5" t="s">
        <v>129</v>
      </c>
      <c r="F29" s="65"/>
      <c r="I29">
        <f>I24+8.3</f>
        <v>54.08</v>
      </c>
    </row>
    <row r="30" spans="1:9" x14ac:dyDescent="0.25">
      <c r="A30" s="6" t="s">
        <v>13</v>
      </c>
      <c r="B30" s="6" t="s">
        <v>37</v>
      </c>
      <c r="C30" s="8">
        <v>1</v>
      </c>
      <c r="D30" s="74">
        <v>10500</v>
      </c>
      <c r="E30" s="11">
        <f>D30*C30*1.54</f>
        <v>16170</v>
      </c>
      <c r="F30" s="66"/>
    </row>
    <row r="31" spans="1:9" x14ac:dyDescent="0.25">
      <c r="A31" s="6" t="s">
        <v>15</v>
      </c>
      <c r="B31" s="6" t="s">
        <v>38</v>
      </c>
      <c r="C31" s="8">
        <v>1</v>
      </c>
      <c r="D31" s="74">
        <v>6000</v>
      </c>
      <c r="E31" s="11">
        <f t="shared" ref="E31:E32" si="2">D31*C31*1.54</f>
        <v>9240</v>
      </c>
      <c r="F31" s="66"/>
    </row>
    <row r="32" spans="1:9" x14ac:dyDescent="0.25">
      <c r="A32" s="6" t="s">
        <v>17</v>
      </c>
      <c r="B32" s="6" t="s">
        <v>39</v>
      </c>
      <c r="C32" s="60">
        <v>2</v>
      </c>
      <c r="D32" s="74">
        <v>2200</v>
      </c>
      <c r="E32" s="11">
        <f t="shared" si="2"/>
        <v>6776</v>
      </c>
      <c r="F32" s="68"/>
    </row>
    <row r="33" spans="1:8" ht="15.75" thickBot="1" x14ac:dyDescent="0.3">
      <c r="A33" s="19"/>
      <c r="B33" s="19"/>
      <c r="C33" s="18"/>
      <c r="D33" s="64" t="s">
        <v>54</v>
      </c>
      <c r="E33" s="71">
        <f>SUM(E30:E32)</f>
        <v>32186</v>
      </c>
      <c r="F33" s="69"/>
    </row>
    <row r="34" spans="1:8" x14ac:dyDescent="0.25">
      <c r="A34" s="17"/>
      <c r="B34" s="17" t="s">
        <v>55</v>
      </c>
    </row>
    <row r="35" spans="1:8" x14ac:dyDescent="0.25">
      <c r="A35" s="10" t="s">
        <v>1</v>
      </c>
      <c r="B35" s="10" t="s">
        <v>21</v>
      </c>
      <c r="C35" s="10" t="s">
        <v>22</v>
      </c>
      <c r="D35" s="10" t="s">
        <v>41</v>
      </c>
      <c r="E35" s="10" t="s">
        <v>42</v>
      </c>
    </row>
    <row r="36" spans="1:8" x14ac:dyDescent="0.25">
      <c r="A36" s="6" t="s">
        <v>9</v>
      </c>
      <c r="B36" s="6" t="s">
        <v>43</v>
      </c>
      <c r="C36" s="8">
        <v>60</v>
      </c>
      <c r="D36" s="8">
        <v>80</v>
      </c>
      <c r="E36" s="11">
        <f>D36*C36</f>
        <v>4800</v>
      </c>
    </row>
    <row r="37" spans="1:8" x14ac:dyDescent="0.25">
      <c r="A37" s="6" t="s">
        <v>11</v>
      </c>
      <c r="B37" s="6" t="s">
        <v>58</v>
      </c>
      <c r="C37" s="8">
        <v>60</v>
      </c>
      <c r="D37" s="8">
        <v>10</v>
      </c>
      <c r="E37" s="11">
        <f>D37*C37</f>
        <v>600</v>
      </c>
    </row>
    <row r="38" spans="1:8" x14ac:dyDescent="0.25">
      <c r="A38" s="6" t="s">
        <v>13</v>
      </c>
      <c r="B38" s="6" t="s">
        <v>57</v>
      </c>
      <c r="C38" s="6">
        <v>20</v>
      </c>
      <c r="D38" s="8">
        <v>20</v>
      </c>
      <c r="E38" s="11">
        <f>D38*C38</f>
        <v>400</v>
      </c>
    </row>
    <row r="39" spans="1:8" ht="15.75" thickBot="1" x14ac:dyDescent="0.3">
      <c r="A39" s="2"/>
      <c r="B39" s="2"/>
      <c r="C39" s="2"/>
      <c r="D39" s="14" t="s">
        <v>62</v>
      </c>
      <c r="E39" s="21">
        <f>SUM(E36:E38)</f>
        <v>5800</v>
      </c>
    </row>
    <row r="40" spans="1:8" x14ac:dyDescent="0.25">
      <c r="A40" s="1"/>
      <c r="B40" s="17" t="s">
        <v>56</v>
      </c>
    </row>
    <row r="41" spans="1:8" x14ac:dyDescent="0.25">
      <c r="A41" s="10" t="s">
        <v>1</v>
      </c>
      <c r="B41" s="10" t="s">
        <v>21</v>
      </c>
      <c r="C41" s="10" t="s">
        <v>44</v>
      </c>
      <c r="D41" s="10" t="s">
        <v>42</v>
      </c>
    </row>
    <row r="42" spans="1:8" x14ac:dyDescent="0.25">
      <c r="A42" s="6" t="s">
        <v>9</v>
      </c>
      <c r="B42" s="6" t="s">
        <v>45</v>
      </c>
      <c r="C42" s="6"/>
      <c r="D42" s="22">
        <v>1600</v>
      </c>
    </row>
    <row r="43" spans="1:8" x14ac:dyDescent="0.25">
      <c r="A43" s="6" t="s">
        <v>11</v>
      </c>
      <c r="B43" s="6" t="s">
        <v>46</v>
      </c>
      <c r="C43" s="8">
        <v>2200</v>
      </c>
      <c r="D43" s="13">
        <f>C43/12</f>
        <v>183.33333333333334</v>
      </c>
    </row>
    <row r="44" spans="1:8" x14ac:dyDescent="0.25">
      <c r="A44" s="6" t="s">
        <v>13</v>
      </c>
      <c r="B44" s="6" t="s">
        <v>47</v>
      </c>
      <c r="C44" s="6"/>
      <c r="D44" s="22">
        <v>400</v>
      </c>
    </row>
    <row r="45" spans="1:8" ht="30.75" customHeight="1" x14ac:dyDescent="0.25">
      <c r="A45" s="6" t="s">
        <v>15</v>
      </c>
      <c r="B45" s="6" t="s">
        <v>59</v>
      </c>
      <c r="C45" s="6" t="s">
        <v>60</v>
      </c>
      <c r="D45" s="11">
        <f>0.5*1800</f>
        <v>900</v>
      </c>
      <c r="E45" s="85" t="s">
        <v>105</v>
      </c>
      <c r="F45" s="86"/>
      <c r="G45" s="86"/>
      <c r="H45" s="86"/>
    </row>
    <row r="46" spans="1:8" x14ac:dyDescent="0.25">
      <c r="A46" s="6" t="s">
        <v>17</v>
      </c>
      <c r="B46" s="6" t="s">
        <v>61</v>
      </c>
      <c r="C46" s="6">
        <v>3000</v>
      </c>
      <c r="D46" s="11">
        <f>C46/12</f>
        <v>250</v>
      </c>
    </row>
    <row r="47" spans="1:8" ht="15.75" thickBot="1" x14ac:dyDescent="0.3">
      <c r="A47" s="2"/>
      <c r="B47" s="2"/>
      <c r="C47" s="14" t="s">
        <v>63</v>
      </c>
      <c r="D47" s="15">
        <f>SUM(D42:D46)</f>
        <v>3333.333333333333</v>
      </c>
    </row>
    <row r="48" spans="1:8" x14ac:dyDescent="0.25">
      <c r="A48" s="2"/>
      <c r="B48" s="2"/>
      <c r="C48" s="18"/>
      <c r="D48" s="23"/>
    </row>
    <row r="49" spans="1:8" x14ac:dyDescent="0.25">
      <c r="A49" s="1"/>
      <c r="B49" s="17" t="s">
        <v>91</v>
      </c>
    </row>
    <row r="50" spans="1:8" x14ac:dyDescent="0.25">
      <c r="A50" s="1"/>
      <c r="B50" s="17" t="s">
        <v>130</v>
      </c>
    </row>
    <row r="52" spans="1:8" x14ac:dyDescent="0.25">
      <c r="A52" s="82" t="s">
        <v>64</v>
      </c>
      <c r="B52" s="82"/>
      <c r="C52" s="82"/>
      <c r="D52" s="82"/>
      <c r="E52" s="82"/>
      <c r="F52" s="82"/>
      <c r="G52" s="82"/>
      <c r="H52" s="82"/>
    </row>
    <row r="53" spans="1:8" x14ac:dyDescent="0.25">
      <c r="A53" t="s">
        <v>65</v>
      </c>
      <c r="B53" t="s">
        <v>66</v>
      </c>
    </row>
    <row r="54" spans="1:8" x14ac:dyDescent="0.25">
      <c r="A54" t="s">
        <v>67</v>
      </c>
      <c r="B54" t="s">
        <v>141</v>
      </c>
    </row>
    <row r="55" spans="1:8" x14ac:dyDescent="0.25">
      <c r="D55" s="57" t="s">
        <v>42</v>
      </c>
    </row>
    <row r="56" spans="1:8" x14ac:dyDescent="0.25">
      <c r="B56" s="81" t="s">
        <v>71</v>
      </c>
      <c r="C56" s="81"/>
      <c r="D56" s="54">
        <f>H12</f>
        <v>5597.0000000000009</v>
      </c>
    </row>
    <row r="57" spans="1:8" x14ac:dyDescent="0.25">
      <c r="B57" s="81" t="s">
        <v>72</v>
      </c>
      <c r="C57" s="81"/>
      <c r="D57" s="55">
        <f>E18</f>
        <v>69000</v>
      </c>
    </row>
    <row r="58" spans="1:8" x14ac:dyDescent="0.25">
      <c r="B58" s="81" t="s">
        <v>73</v>
      </c>
      <c r="C58" s="81"/>
      <c r="D58" s="55">
        <f>E25</f>
        <v>41580</v>
      </c>
    </row>
    <row r="59" spans="1:8" x14ac:dyDescent="0.25">
      <c r="B59" s="81" t="s">
        <v>74</v>
      </c>
      <c r="C59" s="81"/>
      <c r="D59" s="56">
        <f>E33</f>
        <v>32186</v>
      </c>
    </row>
    <row r="60" spans="1:8" x14ac:dyDescent="0.25">
      <c r="B60" s="81" t="s">
        <v>75</v>
      </c>
      <c r="C60" s="81"/>
      <c r="D60" s="55">
        <f>-E39</f>
        <v>-5800</v>
      </c>
    </row>
    <row r="61" spans="1:8" x14ac:dyDescent="0.25">
      <c r="B61" s="81" t="s">
        <v>76</v>
      </c>
      <c r="C61" s="81"/>
      <c r="D61" s="54">
        <f>D47</f>
        <v>3333.333333333333</v>
      </c>
    </row>
    <row r="62" spans="1:8" x14ac:dyDescent="0.25">
      <c r="B62" s="24"/>
      <c r="C62" s="58" t="s">
        <v>68</v>
      </c>
      <c r="D62" s="59">
        <f>SUM(D56:D61)</f>
        <v>145896.33333333334</v>
      </c>
    </row>
    <row r="63" spans="1:8" ht="20.25" customHeight="1" x14ac:dyDescent="0.25">
      <c r="B63" s="24" t="s">
        <v>70</v>
      </c>
      <c r="C63" s="24"/>
      <c r="D63" s="72">
        <f>(D57+D58+D59-(-D60))*5%</f>
        <v>6848.3</v>
      </c>
    </row>
    <row r="64" spans="1:8" x14ac:dyDescent="0.25">
      <c r="B64" s="24" t="s">
        <v>69</v>
      </c>
      <c r="C64" s="24"/>
      <c r="D64" s="73">
        <f>-D60*13.5%</f>
        <v>783</v>
      </c>
    </row>
    <row r="65" spans="1:8" x14ac:dyDescent="0.25">
      <c r="B65" s="80" t="s">
        <v>123</v>
      </c>
      <c r="C65" s="80"/>
      <c r="D65" s="61">
        <f>SUM(D62:D64)</f>
        <v>153527.63333333333</v>
      </c>
    </row>
    <row r="67" spans="1:8" x14ac:dyDescent="0.25">
      <c r="A67" t="s">
        <v>77</v>
      </c>
      <c r="B67" s="24" t="s">
        <v>78</v>
      </c>
      <c r="C67" s="24" t="s">
        <v>79</v>
      </c>
      <c r="D67" s="25">
        <f>D65/1800</f>
        <v>85.293129629629632</v>
      </c>
    </row>
    <row r="68" spans="1:8" x14ac:dyDescent="0.25">
      <c r="A68" t="s">
        <v>81</v>
      </c>
      <c r="B68" s="24" t="s">
        <v>80</v>
      </c>
      <c r="C68" s="24"/>
      <c r="D68" s="24">
        <f>1800/300</f>
        <v>6</v>
      </c>
    </row>
    <row r="69" spans="1:8" ht="24.75" customHeight="1" x14ac:dyDescent="0.25">
      <c r="A69" t="s">
        <v>82</v>
      </c>
      <c r="B69" s="24" t="s">
        <v>83</v>
      </c>
      <c r="C69" s="24"/>
      <c r="D69" s="24"/>
    </row>
    <row r="70" spans="1:8" x14ac:dyDescent="0.25">
      <c r="B70" s="24" t="s">
        <v>84</v>
      </c>
      <c r="C70" s="24"/>
      <c r="D70" s="24">
        <f>1.2*1800</f>
        <v>2160</v>
      </c>
    </row>
    <row r="71" spans="1:8" x14ac:dyDescent="0.25">
      <c r="B71" s="24" t="s">
        <v>85</v>
      </c>
      <c r="C71" s="24"/>
      <c r="D71" s="24">
        <f>450*6*6.96</f>
        <v>18792</v>
      </c>
    </row>
    <row r="72" spans="1:8" x14ac:dyDescent="0.25">
      <c r="B72" s="80" t="s">
        <v>124</v>
      </c>
      <c r="C72" s="80"/>
      <c r="D72" s="62">
        <f>SUM(D70:D71)</f>
        <v>20952</v>
      </c>
    </row>
    <row r="73" spans="1:8" x14ac:dyDescent="0.25">
      <c r="B73" s="26"/>
      <c r="D73" s="27"/>
    </row>
    <row r="74" spans="1:8" x14ac:dyDescent="0.25">
      <c r="B74" s="75" t="s">
        <v>86</v>
      </c>
      <c r="C74" s="75"/>
      <c r="D74" s="76">
        <f>D65+D72</f>
        <v>174479.63333333333</v>
      </c>
    </row>
    <row r="75" spans="1:8" x14ac:dyDescent="0.25">
      <c r="B75" s="75" t="s">
        <v>87</v>
      </c>
      <c r="C75" s="75"/>
      <c r="D75" s="76">
        <f>D74/1800</f>
        <v>96.933129629629633</v>
      </c>
    </row>
    <row r="76" spans="1:8" x14ac:dyDescent="0.25">
      <c r="A76" t="s">
        <v>88</v>
      </c>
      <c r="B76" t="s">
        <v>89</v>
      </c>
    </row>
    <row r="77" spans="1:8" x14ac:dyDescent="0.25">
      <c r="B77" s="53" t="s">
        <v>90</v>
      </c>
      <c r="C77" s="53"/>
      <c r="D77" s="72">
        <f>D75*1.5</f>
        <v>145.39969444444444</v>
      </c>
    </row>
    <row r="78" spans="1:8" ht="20.25" customHeight="1" x14ac:dyDescent="0.25">
      <c r="B78" s="47" t="s">
        <v>125</v>
      </c>
      <c r="C78" s="48"/>
      <c r="D78" s="49">
        <f>D77/8.5</f>
        <v>17.105846405228757</v>
      </c>
    </row>
    <row r="80" spans="1:8" ht="22.5" customHeight="1" x14ac:dyDescent="0.25">
      <c r="A80" t="s">
        <v>92</v>
      </c>
      <c r="B80" s="77" t="s">
        <v>131</v>
      </c>
      <c r="C80" s="78"/>
      <c r="D80" s="78"/>
      <c r="E80" s="78"/>
      <c r="F80" s="78"/>
      <c r="G80" s="78"/>
      <c r="H80" s="79"/>
    </row>
    <row r="82" spans="1:7" x14ac:dyDescent="0.25">
      <c r="A82" s="28" t="s">
        <v>93</v>
      </c>
      <c r="B82" s="28" t="s">
        <v>106</v>
      </c>
      <c r="C82" s="28"/>
      <c r="D82" s="28"/>
      <c r="E82" s="28"/>
      <c r="F82" s="28"/>
      <c r="G82" s="28"/>
    </row>
    <row r="83" spans="1:7" x14ac:dyDescent="0.25">
      <c r="B83" s="28"/>
    </row>
    <row r="84" spans="1:7" x14ac:dyDescent="0.25">
      <c r="B84" s="28" t="s">
        <v>95</v>
      </c>
      <c r="C84" t="s">
        <v>136</v>
      </c>
    </row>
  </sheetData>
  <mergeCells count="14">
    <mergeCell ref="A2:H2"/>
    <mergeCell ref="A3:H3"/>
    <mergeCell ref="A4:H4"/>
    <mergeCell ref="E45:H45"/>
    <mergeCell ref="B60:C60"/>
    <mergeCell ref="B80:H80"/>
    <mergeCell ref="B65:C65"/>
    <mergeCell ref="B72:C72"/>
    <mergeCell ref="B61:C61"/>
    <mergeCell ref="A52:H52"/>
    <mergeCell ref="B56:C56"/>
    <mergeCell ref="B57:C57"/>
    <mergeCell ref="B58:C58"/>
    <mergeCell ref="B59:C59"/>
  </mergeCells>
  <pageMargins left="0.32" right="0.27559055118110237" top="0.4" bottom="0.25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N5" sqref="N5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0.28515625" customWidth="1"/>
    <col min="4" max="4" width="1.28515625" customWidth="1"/>
    <col min="5" max="5" width="28.85546875" bestFit="1" customWidth="1"/>
    <col min="7" max="7" width="8.5703125" bestFit="1" customWidth="1"/>
    <col min="8" max="8" width="4.5703125" bestFit="1" customWidth="1"/>
    <col min="9" max="9" width="1.5703125" customWidth="1"/>
    <col min="10" max="10" width="28.85546875" bestFit="1" customWidth="1"/>
    <col min="12" max="12" width="5.85546875" bestFit="1" customWidth="1"/>
  </cols>
  <sheetData>
    <row r="1" spans="1:12" x14ac:dyDescent="0.25">
      <c r="A1" t="s">
        <v>107</v>
      </c>
    </row>
    <row r="2" spans="1:12" ht="21" customHeight="1" x14ac:dyDescent="0.25">
      <c r="A2" t="s">
        <v>96</v>
      </c>
    </row>
    <row r="3" spans="1:12" x14ac:dyDescent="0.25">
      <c r="A3" t="s">
        <v>65</v>
      </c>
      <c r="B3" t="s">
        <v>98</v>
      </c>
      <c r="E3" t="s">
        <v>99</v>
      </c>
    </row>
    <row r="4" spans="1:12" ht="26.25" customHeight="1" x14ac:dyDescent="0.25">
      <c r="C4" s="31" t="s">
        <v>97</v>
      </c>
      <c r="F4" s="33" t="s">
        <v>100</v>
      </c>
      <c r="G4" s="33" t="s">
        <v>137</v>
      </c>
      <c r="H4" s="33" t="s">
        <v>101</v>
      </c>
      <c r="K4" t="s">
        <v>102</v>
      </c>
      <c r="L4" t="s">
        <v>101</v>
      </c>
    </row>
    <row r="5" spans="1:12" x14ac:dyDescent="0.25">
      <c r="A5" s="6">
        <v>1</v>
      </c>
      <c r="B5" s="6" t="s">
        <v>10</v>
      </c>
      <c r="C5" s="30">
        <v>918.33333333333337</v>
      </c>
      <c r="E5" s="6" t="s">
        <v>25</v>
      </c>
      <c r="F5" s="30">
        <v>60000</v>
      </c>
      <c r="G5" s="30">
        <f>F5</f>
        <v>60000</v>
      </c>
      <c r="H5" s="32">
        <f>G5/$F$25</f>
        <v>0.39428203432006059</v>
      </c>
      <c r="J5" s="34" t="s">
        <v>25</v>
      </c>
      <c r="K5" s="35">
        <v>60000</v>
      </c>
      <c r="L5" s="36">
        <v>0.39428203432006059</v>
      </c>
    </row>
    <row r="6" spans="1:12" x14ac:dyDescent="0.25">
      <c r="A6" s="6">
        <v>2</v>
      </c>
      <c r="B6" s="6" t="s">
        <v>12</v>
      </c>
      <c r="C6" s="30">
        <v>1450</v>
      </c>
      <c r="E6" s="6" t="s">
        <v>37</v>
      </c>
      <c r="F6" s="30">
        <v>16275</v>
      </c>
      <c r="G6" s="30">
        <f>G5+F6</f>
        <v>76275</v>
      </c>
      <c r="H6" s="32">
        <f t="shared" ref="H6:H24" si="0">G6/$F$25</f>
        <v>0.50123103612937703</v>
      </c>
      <c r="J6" s="34" t="s">
        <v>37</v>
      </c>
      <c r="K6" s="35">
        <v>16275</v>
      </c>
      <c r="L6" s="36">
        <v>0.50123103612937703</v>
      </c>
    </row>
    <row r="7" spans="1:12" x14ac:dyDescent="0.25">
      <c r="A7" s="6">
        <v>3</v>
      </c>
      <c r="B7" s="6" t="s">
        <v>14</v>
      </c>
      <c r="C7" s="30">
        <v>522</v>
      </c>
      <c r="E7" s="6" t="s">
        <v>35</v>
      </c>
      <c r="F7" s="30">
        <v>14880</v>
      </c>
      <c r="G7" s="30">
        <f>G6+F7</f>
        <v>91155</v>
      </c>
      <c r="H7" s="32">
        <f t="shared" si="0"/>
        <v>0.59901298064075204</v>
      </c>
      <c r="J7" s="34" t="s">
        <v>35</v>
      </c>
      <c r="K7" s="35">
        <v>14880</v>
      </c>
      <c r="L7" s="36">
        <v>0.59901298064075204</v>
      </c>
    </row>
    <row r="8" spans="1:12" x14ac:dyDescent="0.25">
      <c r="A8" s="6">
        <v>4</v>
      </c>
      <c r="B8" s="6" t="s">
        <v>16</v>
      </c>
      <c r="C8" s="30">
        <v>1740</v>
      </c>
      <c r="E8" s="6" t="s">
        <v>36</v>
      </c>
      <c r="F8" s="30">
        <v>10850</v>
      </c>
      <c r="G8" s="30">
        <f t="shared" ref="G8:G24" si="1">G7+F8</f>
        <v>102005</v>
      </c>
      <c r="H8" s="32">
        <f t="shared" si="0"/>
        <v>0.67031231518029633</v>
      </c>
      <c r="J8" s="34" t="s">
        <v>36</v>
      </c>
      <c r="K8" s="35">
        <v>10850</v>
      </c>
      <c r="L8" s="36">
        <v>0.67031231518029633</v>
      </c>
    </row>
    <row r="9" spans="1:12" x14ac:dyDescent="0.25">
      <c r="A9" s="6">
        <v>5</v>
      </c>
      <c r="B9" s="6" t="s">
        <v>18</v>
      </c>
      <c r="C9" s="30">
        <v>966.66666666666663</v>
      </c>
      <c r="E9" s="6" t="s">
        <v>38</v>
      </c>
      <c r="F9" s="30">
        <v>9300</v>
      </c>
      <c r="G9" s="30">
        <f t="shared" si="1"/>
        <v>111305</v>
      </c>
      <c r="H9" s="32">
        <f t="shared" si="0"/>
        <v>0.73142603049990573</v>
      </c>
      <c r="J9" s="34" t="s">
        <v>38</v>
      </c>
      <c r="K9" s="35">
        <v>9300</v>
      </c>
      <c r="L9" s="36">
        <v>0.73142603049990573</v>
      </c>
    </row>
    <row r="10" spans="1:12" x14ac:dyDescent="0.25">
      <c r="A10" s="6">
        <v>6</v>
      </c>
      <c r="B10" s="6" t="s">
        <v>25</v>
      </c>
      <c r="C10" s="30">
        <v>60000</v>
      </c>
      <c r="E10" s="6" t="s">
        <v>51</v>
      </c>
      <c r="F10" s="30">
        <v>8370</v>
      </c>
      <c r="G10" s="30">
        <f t="shared" si="1"/>
        <v>119675</v>
      </c>
      <c r="H10" s="32">
        <f t="shared" si="0"/>
        <v>0.78642837428755419</v>
      </c>
      <c r="J10" s="34" t="s">
        <v>51</v>
      </c>
      <c r="K10" s="35">
        <v>8370</v>
      </c>
      <c r="L10" s="36">
        <v>0.78642837428755419</v>
      </c>
    </row>
    <row r="11" spans="1:12" x14ac:dyDescent="0.25">
      <c r="A11" s="6">
        <v>7</v>
      </c>
      <c r="B11" s="6" t="s">
        <v>27</v>
      </c>
      <c r="C11" s="30">
        <v>6000</v>
      </c>
      <c r="E11" s="6" t="s">
        <v>52</v>
      </c>
      <c r="F11" s="30">
        <v>7750</v>
      </c>
      <c r="G11" s="30">
        <f t="shared" si="1"/>
        <v>127425</v>
      </c>
      <c r="H11" s="32">
        <f t="shared" si="0"/>
        <v>0.83735647038722871</v>
      </c>
      <c r="J11" s="6" t="s">
        <v>52</v>
      </c>
      <c r="K11" s="30">
        <v>7750</v>
      </c>
      <c r="L11" s="32">
        <v>0.83735647038722871</v>
      </c>
    </row>
    <row r="12" spans="1:12" x14ac:dyDescent="0.25">
      <c r="A12" s="6">
        <v>8</v>
      </c>
      <c r="B12" s="6" t="s">
        <v>29</v>
      </c>
      <c r="C12" s="30">
        <v>3000</v>
      </c>
      <c r="E12" s="6" t="s">
        <v>39</v>
      </c>
      <c r="F12" s="30">
        <v>6820</v>
      </c>
      <c r="G12" s="30">
        <f t="shared" si="1"/>
        <v>134245</v>
      </c>
      <c r="H12" s="32">
        <f t="shared" si="0"/>
        <v>0.88217319495494229</v>
      </c>
      <c r="J12" s="6" t="s">
        <v>39</v>
      </c>
      <c r="K12" s="30">
        <v>6820</v>
      </c>
      <c r="L12" s="32">
        <v>0.88217319495494229</v>
      </c>
    </row>
    <row r="13" spans="1:12" x14ac:dyDescent="0.25">
      <c r="A13" s="6">
        <v>9</v>
      </c>
      <c r="B13" s="6" t="s">
        <v>35</v>
      </c>
      <c r="C13" s="30">
        <v>14880</v>
      </c>
      <c r="E13" s="6" t="s">
        <v>27</v>
      </c>
      <c r="F13" s="30">
        <v>6000</v>
      </c>
      <c r="G13" s="30">
        <f t="shared" si="1"/>
        <v>140245</v>
      </c>
      <c r="H13" s="32">
        <f t="shared" si="0"/>
        <v>0.92160139838694832</v>
      </c>
      <c r="J13" s="6" t="s">
        <v>27</v>
      </c>
      <c r="K13" s="30">
        <v>6000</v>
      </c>
      <c r="L13" s="32">
        <v>0.92160139838694832</v>
      </c>
    </row>
    <row r="14" spans="1:12" x14ac:dyDescent="0.25">
      <c r="A14" s="6">
        <v>10</v>
      </c>
      <c r="B14" s="6" t="s">
        <v>36</v>
      </c>
      <c r="C14" s="30">
        <v>10850</v>
      </c>
      <c r="E14" s="6" t="s">
        <v>29</v>
      </c>
      <c r="F14" s="30">
        <v>3000</v>
      </c>
      <c r="G14" s="30">
        <f t="shared" si="1"/>
        <v>143245</v>
      </c>
      <c r="H14" s="32">
        <f t="shared" si="0"/>
        <v>0.9413155001029514</v>
      </c>
      <c r="J14" s="6" t="s">
        <v>29</v>
      </c>
      <c r="K14" s="30">
        <v>3000</v>
      </c>
      <c r="L14" s="32">
        <v>0.9413155001029514</v>
      </c>
    </row>
    <row r="15" spans="1:12" x14ac:dyDescent="0.25">
      <c r="A15" s="6">
        <v>11</v>
      </c>
      <c r="B15" s="6" t="s">
        <v>51</v>
      </c>
      <c r="C15" s="30">
        <v>8370</v>
      </c>
      <c r="E15" s="6" t="s">
        <v>16</v>
      </c>
      <c r="F15" s="30">
        <v>1740</v>
      </c>
      <c r="G15" s="30">
        <f t="shared" si="1"/>
        <v>144985</v>
      </c>
      <c r="H15" s="32">
        <f t="shared" si="0"/>
        <v>0.95274967909823316</v>
      </c>
      <c r="J15" s="6" t="s">
        <v>16</v>
      </c>
      <c r="K15" s="30">
        <v>1740</v>
      </c>
      <c r="L15" s="32">
        <v>0.95274967909823316</v>
      </c>
    </row>
    <row r="16" spans="1:12" x14ac:dyDescent="0.25">
      <c r="A16" s="6">
        <v>12</v>
      </c>
      <c r="B16" s="6" t="s">
        <v>52</v>
      </c>
      <c r="C16" s="30">
        <v>7750</v>
      </c>
      <c r="E16" s="6" t="s">
        <v>45</v>
      </c>
      <c r="F16" s="30">
        <v>1600</v>
      </c>
      <c r="G16" s="30">
        <f t="shared" si="1"/>
        <v>146585</v>
      </c>
      <c r="H16" s="32">
        <f t="shared" si="0"/>
        <v>0.96326386668010144</v>
      </c>
      <c r="J16" s="6" t="s">
        <v>45</v>
      </c>
      <c r="K16" s="30">
        <v>1600</v>
      </c>
      <c r="L16" s="32">
        <v>0.96326386668010144</v>
      </c>
    </row>
    <row r="17" spans="1:12" x14ac:dyDescent="0.25">
      <c r="A17" s="6">
        <v>13</v>
      </c>
      <c r="B17" s="6" t="s">
        <v>37</v>
      </c>
      <c r="C17" s="30">
        <v>16275</v>
      </c>
      <c r="E17" s="6" t="s">
        <v>12</v>
      </c>
      <c r="F17" s="30">
        <v>1450</v>
      </c>
      <c r="G17" s="30">
        <f t="shared" si="1"/>
        <v>148035</v>
      </c>
      <c r="H17" s="32">
        <f t="shared" si="0"/>
        <v>0.97279234917616952</v>
      </c>
      <c r="J17" s="6" t="s">
        <v>12</v>
      </c>
      <c r="K17" s="30">
        <v>1450</v>
      </c>
      <c r="L17" s="32">
        <v>0.97279234917616952</v>
      </c>
    </row>
    <row r="18" spans="1:12" x14ac:dyDescent="0.25">
      <c r="A18" s="6">
        <v>14</v>
      </c>
      <c r="B18" s="6" t="s">
        <v>38</v>
      </c>
      <c r="C18" s="30">
        <v>9300</v>
      </c>
      <c r="E18" s="6" t="s">
        <v>18</v>
      </c>
      <c r="F18" s="30">
        <v>966.66666666666663</v>
      </c>
      <c r="G18" s="30">
        <f t="shared" si="1"/>
        <v>149001.66666666666</v>
      </c>
      <c r="H18" s="32">
        <f t="shared" si="0"/>
        <v>0.97914467084021484</v>
      </c>
      <c r="J18" s="6" t="s">
        <v>18</v>
      </c>
      <c r="K18" s="30">
        <v>966.66666666666663</v>
      </c>
      <c r="L18" s="32">
        <v>0.97914467084021484</v>
      </c>
    </row>
    <row r="19" spans="1:12" x14ac:dyDescent="0.25">
      <c r="A19" s="6">
        <v>15</v>
      </c>
      <c r="B19" s="6" t="s">
        <v>39</v>
      </c>
      <c r="C19" s="30">
        <v>6820</v>
      </c>
      <c r="E19" s="6" t="s">
        <v>10</v>
      </c>
      <c r="F19" s="30">
        <v>918.33333333333337</v>
      </c>
      <c r="G19" s="30">
        <f t="shared" si="1"/>
        <v>149920</v>
      </c>
      <c r="H19" s="32">
        <f t="shared" si="0"/>
        <v>0.98517937642105813</v>
      </c>
      <c r="J19" s="6" t="s">
        <v>10</v>
      </c>
      <c r="K19" s="30">
        <v>918.33333333333337</v>
      </c>
      <c r="L19" s="32">
        <v>0.98517937642105813</v>
      </c>
    </row>
    <row r="20" spans="1:12" x14ac:dyDescent="0.25">
      <c r="A20" s="6">
        <v>16</v>
      </c>
      <c r="B20" s="6" t="s">
        <v>45</v>
      </c>
      <c r="C20" s="30">
        <v>1600</v>
      </c>
      <c r="E20" s="6" t="s">
        <v>59</v>
      </c>
      <c r="F20" s="30">
        <v>900</v>
      </c>
      <c r="G20" s="30">
        <f t="shared" si="1"/>
        <v>150820</v>
      </c>
      <c r="H20" s="32">
        <f t="shared" si="0"/>
        <v>0.99109360693585902</v>
      </c>
      <c r="J20" s="6" t="s">
        <v>59</v>
      </c>
      <c r="K20" s="30">
        <v>900</v>
      </c>
      <c r="L20" s="32">
        <v>0.99109360693585902</v>
      </c>
    </row>
    <row r="21" spans="1:12" x14ac:dyDescent="0.25">
      <c r="A21" s="6">
        <v>17</v>
      </c>
      <c r="B21" s="6" t="s">
        <v>46</v>
      </c>
      <c r="C21" s="30">
        <v>183.33333333333334</v>
      </c>
      <c r="E21" s="6" t="s">
        <v>14</v>
      </c>
      <c r="F21" s="30">
        <v>522</v>
      </c>
      <c r="G21" s="30">
        <f t="shared" si="1"/>
        <v>151342</v>
      </c>
      <c r="H21" s="32">
        <f t="shared" si="0"/>
        <v>0.99452386063444354</v>
      </c>
      <c r="J21" s="6" t="s">
        <v>14</v>
      </c>
      <c r="K21" s="30">
        <v>522</v>
      </c>
      <c r="L21" s="32">
        <v>0.99452386063444354</v>
      </c>
    </row>
    <row r="22" spans="1:12" x14ac:dyDescent="0.25">
      <c r="A22" s="6">
        <v>18</v>
      </c>
      <c r="B22" s="6" t="s">
        <v>47</v>
      </c>
      <c r="C22" s="30">
        <v>400</v>
      </c>
      <c r="E22" s="6" t="s">
        <v>47</v>
      </c>
      <c r="F22" s="30">
        <v>400</v>
      </c>
      <c r="G22" s="30">
        <f t="shared" si="1"/>
        <v>151742</v>
      </c>
      <c r="H22" s="32">
        <f t="shared" si="0"/>
        <v>0.99715240752991063</v>
      </c>
      <c r="J22" s="6" t="s">
        <v>47</v>
      </c>
      <c r="K22" s="30">
        <v>400</v>
      </c>
      <c r="L22" s="32">
        <v>0.99715240752991063</v>
      </c>
    </row>
    <row r="23" spans="1:12" x14ac:dyDescent="0.25">
      <c r="A23" s="6">
        <v>19</v>
      </c>
      <c r="B23" s="6" t="s">
        <v>59</v>
      </c>
      <c r="C23" s="30">
        <v>900</v>
      </c>
      <c r="E23" s="6" t="s">
        <v>61</v>
      </c>
      <c r="F23" s="30">
        <v>250</v>
      </c>
      <c r="G23" s="30">
        <f t="shared" si="1"/>
        <v>151992</v>
      </c>
      <c r="H23" s="32">
        <f t="shared" si="0"/>
        <v>0.99879524933957753</v>
      </c>
      <c r="J23" s="6" t="s">
        <v>61</v>
      </c>
      <c r="K23" s="30">
        <v>250</v>
      </c>
      <c r="L23" s="32">
        <v>0.99879524933957753</v>
      </c>
    </row>
    <row r="24" spans="1:12" x14ac:dyDescent="0.25">
      <c r="A24" s="6">
        <v>20</v>
      </c>
      <c r="B24" s="6" t="s">
        <v>61</v>
      </c>
      <c r="C24" s="30">
        <v>250</v>
      </c>
      <c r="E24" s="6" t="s">
        <v>46</v>
      </c>
      <c r="F24" s="30">
        <v>183.33333333333334</v>
      </c>
      <c r="G24" s="30">
        <f t="shared" si="1"/>
        <v>152175.33333333334</v>
      </c>
      <c r="H24" s="32">
        <f t="shared" si="0"/>
        <v>1</v>
      </c>
      <c r="J24" s="6" t="s">
        <v>46</v>
      </c>
      <c r="K24" s="30">
        <v>183.33333333333334</v>
      </c>
      <c r="L24" s="32">
        <v>1</v>
      </c>
    </row>
    <row r="25" spans="1:12" x14ac:dyDescent="0.25">
      <c r="F25" s="29">
        <f>SUM(F5:F24)</f>
        <v>152175.33333333334</v>
      </c>
    </row>
  </sheetData>
  <sortState ref="E5:F24">
    <sortCondition descending="1" ref="F5:F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topLeftCell="A2" workbookViewId="0">
      <selection activeCell="G25" sqref="G25"/>
    </sheetView>
  </sheetViews>
  <sheetFormatPr baseColWidth="10" defaultRowHeight="15" x14ac:dyDescent="0.25"/>
  <cols>
    <col min="1" max="1" width="6.42578125" customWidth="1"/>
    <col min="2" max="2" width="28.85546875" bestFit="1" customWidth="1"/>
    <col min="3" max="3" width="7.5703125" bestFit="1" customWidth="1"/>
    <col min="4" max="4" width="6.42578125" bestFit="1" customWidth="1"/>
  </cols>
  <sheetData>
    <row r="3" spans="2:15" x14ac:dyDescent="0.25">
      <c r="B3" s="40" t="s">
        <v>1</v>
      </c>
      <c r="C3" s="41" t="s">
        <v>103</v>
      </c>
      <c r="D3" s="40" t="s">
        <v>104</v>
      </c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x14ac:dyDescent="0.25">
      <c r="B4" s="34" t="s">
        <v>25</v>
      </c>
      <c r="C4" s="35">
        <v>60000</v>
      </c>
      <c r="D4" s="36">
        <v>0.43145705444268934</v>
      </c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x14ac:dyDescent="0.25">
      <c r="B5" s="34" t="s">
        <v>35</v>
      </c>
      <c r="C5" s="35">
        <v>15000</v>
      </c>
      <c r="D5" s="36">
        <v>0.5393213180533617</v>
      </c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x14ac:dyDescent="0.25">
      <c r="B6" s="34" t="s">
        <v>37</v>
      </c>
      <c r="C6" s="35">
        <v>12250</v>
      </c>
      <c r="D6" s="36">
        <v>0.62741046666874412</v>
      </c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x14ac:dyDescent="0.25">
      <c r="B7" s="34" t="s">
        <v>36</v>
      </c>
      <c r="C7" s="35">
        <v>8750</v>
      </c>
      <c r="D7" s="36">
        <v>0.69033128710830294</v>
      </c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x14ac:dyDescent="0.25">
      <c r="B8" s="34" t="s">
        <v>38</v>
      </c>
      <c r="C8" s="35">
        <v>7000</v>
      </c>
      <c r="D8" s="36">
        <v>0.74066794345995002</v>
      </c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x14ac:dyDescent="0.25">
      <c r="B9" s="34" t="s">
        <v>51</v>
      </c>
      <c r="C9" s="35">
        <v>6750</v>
      </c>
      <c r="D9" s="36">
        <v>0.78920686208475255</v>
      </c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x14ac:dyDescent="0.25">
      <c r="B10" s="6" t="s">
        <v>52</v>
      </c>
      <c r="C10" s="30">
        <v>6250</v>
      </c>
      <c r="D10" s="32">
        <v>0.83415030525586609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6" t="s">
        <v>27</v>
      </c>
      <c r="C11" s="30">
        <v>6000</v>
      </c>
      <c r="D11" s="32">
        <v>0.87729601070013496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5" x14ac:dyDescent="0.25">
      <c r="B12" s="6" t="s">
        <v>39</v>
      </c>
      <c r="C12" s="30">
        <v>5133.333333333333</v>
      </c>
      <c r="D12" s="32">
        <v>0.91420955869134279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15" x14ac:dyDescent="0.25">
      <c r="B13" s="6" t="s">
        <v>29</v>
      </c>
      <c r="C13" s="30">
        <v>3000</v>
      </c>
      <c r="D13" s="32">
        <v>0.93578241141347729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5" x14ac:dyDescent="0.25">
      <c r="B14" s="6" t="s">
        <v>16</v>
      </c>
      <c r="C14" s="30">
        <v>1740</v>
      </c>
      <c r="D14" s="32">
        <v>0.94829466599231516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2:15" x14ac:dyDescent="0.25">
      <c r="B15" s="6" t="s">
        <v>45</v>
      </c>
      <c r="C15" s="30">
        <v>1600</v>
      </c>
      <c r="D15" s="32">
        <v>0.95980018744412021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2:15" x14ac:dyDescent="0.25">
      <c r="B16" s="6" t="s">
        <v>12</v>
      </c>
      <c r="C16" s="30">
        <v>1450</v>
      </c>
      <c r="D16" s="32">
        <v>0.97022706625981858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x14ac:dyDescent="0.25">
      <c r="B17" s="6" t="s">
        <v>18</v>
      </c>
      <c r="C17" s="30">
        <v>966.66666666666663</v>
      </c>
      <c r="D17" s="32">
        <v>0.97717831880361739</v>
      </c>
      <c r="E17" s="37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x14ac:dyDescent="0.25">
      <c r="B18" s="6" t="s">
        <v>10</v>
      </c>
      <c r="C18" s="30">
        <v>918.33333333333337</v>
      </c>
      <c r="D18" s="32">
        <v>0.98378200872022636</v>
      </c>
      <c r="E18" s="37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5" x14ac:dyDescent="0.25">
      <c r="B19" s="6" t="s">
        <v>59</v>
      </c>
      <c r="C19" s="30">
        <v>900</v>
      </c>
      <c r="D19" s="32">
        <v>0.9902538645368667</v>
      </c>
      <c r="E19" s="37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2:15" x14ac:dyDescent="0.25">
      <c r="B20" s="6" t="s">
        <v>14</v>
      </c>
      <c r="C20" s="30">
        <v>522</v>
      </c>
      <c r="D20" s="32">
        <v>0.99400754091051813</v>
      </c>
      <c r="E20" s="37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5" x14ac:dyDescent="0.25">
      <c r="B21" s="6" t="s">
        <v>47</v>
      </c>
      <c r="C21" s="30">
        <v>400</v>
      </c>
      <c r="D21" s="32">
        <v>0.99688392127346936</v>
      </c>
      <c r="E21" s="37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5" x14ac:dyDescent="0.25">
      <c r="B22" s="6" t="s">
        <v>61</v>
      </c>
      <c r="C22" s="30">
        <v>250</v>
      </c>
      <c r="D22" s="32">
        <v>0.99868165900031391</v>
      </c>
      <c r="E22" s="37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 x14ac:dyDescent="0.25">
      <c r="B23" s="6" t="s">
        <v>46</v>
      </c>
      <c r="C23" s="30">
        <v>183.33333333333334</v>
      </c>
      <c r="D23" s="32">
        <v>1</v>
      </c>
      <c r="E23" s="37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15" x14ac:dyDescent="0.25">
      <c r="B24" s="39"/>
      <c r="C24" s="42"/>
      <c r="D24" s="43"/>
      <c r="E24" s="37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5" x14ac:dyDescent="0.25">
      <c r="B25" s="39"/>
      <c r="C25" s="42"/>
      <c r="D25" s="43"/>
      <c r="E25" s="37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5" x14ac:dyDescent="0.25">
      <c r="B26" s="39"/>
      <c r="C26" s="42"/>
      <c r="D26" s="43"/>
      <c r="E26" s="37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5" x14ac:dyDescent="0.25">
      <c r="B27" s="39"/>
      <c r="C27" s="42"/>
      <c r="D27" s="43"/>
      <c r="E27" s="37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5" ht="15.75" x14ac:dyDescent="0.25">
      <c r="B28" s="39"/>
      <c r="C28" s="42"/>
      <c r="D28" s="43"/>
      <c r="E28" s="37"/>
      <c r="F28" s="44"/>
      <c r="G28" s="46"/>
      <c r="H28" s="44"/>
      <c r="I28" s="44"/>
      <c r="J28" s="46"/>
      <c r="K28" s="44"/>
      <c r="L28" s="44"/>
      <c r="M28" s="44"/>
      <c r="N28" s="44"/>
      <c r="O28" s="44"/>
    </row>
    <row r="29" spans="2:15" x14ac:dyDescent="0.25">
      <c r="B29" s="39"/>
      <c r="C29" s="42"/>
      <c r="D29" s="43"/>
      <c r="E29" s="37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2:15" x14ac:dyDescent="0.25">
      <c r="B30" s="39"/>
      <c r="C30" s="42"/>
      <c r="D30" s="43"/>
      <c r="E30" s="37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2:15" x14ac:dyDescent="0.25">
      <c r="B31" s="37"/>
      <c r="C31" s="38"/>
      <c r="D31" s="37"/>
      <c r="E31" s="37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2:15" x14ac:dyDescent="0.25">
      <c r="B32" s="37"/>
      <c r="C32" s="37"/>
      <c r="D32" s="37"/>
      <c r="E32" s="37"/>
      <c r="F32" s="44"/>
      <c r="G32" s="44"/>
      <c r="H32" s="45"/>
      <c r="I32" s="44"/>
      <c r="J32" s="44"/>
      <c r="K32" s="44"/>
      <c r="L32" s="45"/>
      <c r="M32" s="44"/>
      <c r="N32" s="44"/>
      <c r="O32" s="44"/>
    </row>
    <row r="33" spans="6:15" x14ac:dyDescent="0.25"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6:15" x14ac:dyDescent="0.25"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6:15" ht="15.75" x14ac:dyDescent="0.25">
      <c r="F35" s="44"/>
      <c r="G35" s="44"/>
      <c r="H35" s="46"/>
      <c r="I35" s="44"/>
      <c r="J35" s="44"/>
      <c r="K35" s="46"/>
      <c r="L35" s="44"/>
      <c r="M35" s="44"/>
      <c r="N35" s="44"/>
      <c r="O35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6" workbookViewId="0">
      <selection activeCell="M15" sqref="M15"/>
    </sheetView>
  </sheetViews>
  <sheetFormatPr baseColWidth="10" defaultRowHeight="15" x14ac:dyDescent="0.25"/>
  <cols>
    <col min="1" max="1" width="4.5703125" customWidth="1"/>
    <col min="2" max="2" width="23.42578125" bestFit="1" customWidth="1"/>
    <col min="3" max="3" width="7.5703125" bestFit="1" customWidth="1"/>
    <col min="4" max="4" width="6.42578125" bestFit="1" customWidth="1"/>
    <col min="5" max="5" width="35.140625" customWidth="1"/>
  </cols>
  <sheetData>
    <row r="1" spans="1:7" x14ac:dyDescent="0.25">
      <c r="A1" t="s">
        <v>108</v>
      </c>
    </row>
    <row r="2" spans="1:7" x14ac:dyDescent="0.25">
      <c r="B2" t="s">
        <v>109</v>
      </c>
    </row>
    <row r="3" spans="1:7" ht="24.75" customHeight="1" x14ac:dyDescent="0.25">
      <c r="B3" s="40" t="s">
        <v>1</v>
      </c>
      <c r="C3" s="41" t="s">
        <v>103</v>
      </c>
      <c r="D3" s="40" t="s">
        <v>104</v>
      </c>
      <c r="E3" s="41" t="s">
        <v>110</v>
      </c>
    </row>
    <row r="4" spans="1:7" ht="45.75" x14ac:dyDescent="0.25">
      <c r="A4" s="50">
        <v>1</v>
      </c>
      <c r="B4" s="34" t="s">
        <v>25</v>
      </c>
      <c r="C4" s="35">
        <v>60000</v>
      </c>
      <c r="D4" s="36">
        <v>0.39428203432006059</v>
      </c>
      <c r="E4" s="51" t="s">
        <v>111</v>
      </c>
    </row>
    <row r="5" spans="1:7" ht="34.5" x14ac:dyDescent="0.25">
      <c r="A5" s="50">
        <v>2</v>
      </c>
      <c r="B5" s="34" t="s">
        <v>37</v>
      </c>
      <c r="C5" s="35">
        <v>16275</v>
      </c>
      <c r="D5" s="36">
        <v>0.50123103612937703</v>
      </c>
      <c r="E5" s="51" t="s">
        <v>132</v>
      </c>
    </row>
    <row r="6" spans="1:7" ht="34.5" x14ac:dyDescent="0.25">
      <c r="A6" s="50">
        <v>3</v>
      </c>
      <c r="B6" s="34" t="s">
        <v>35</v>
      </c>
      <c r="C6" s="35">
        <v>14880</v>
      </c>
      <c r="D6" s="36">
        <v>0.59901298064075204</v>
      </c>
      <c r="E6" s="51" t="s">
        <v>133</v>
      </c>
      <c r="G6" s="51"/>
    </row>
    <row r="7" spans="1:7" ht="23.25" x14ac:dyDescent="0.25">
      <c r="A7" s="50">
        <v>4</v>
      </c>
      <c r="B7" s="34" t="s">
        <v>36</v>
      </c>
      <c r="C7" s="35">
        <v>10850</v>
      </c>
      <c r="D7" s="36">
        <v>0.67031231518029633</v>
      </c>
      <c r="E7" s="51" t="s">
        <v>112</v>
      </c>
    </row>
    <row r="8" spans="1:7" ht="23.25" x14ac:dyDescent="0.25">
      <c r="A8" s="50">
        <v>5</v>
      </c>
      <c r="B8" s="34" t="s">
        <v>38</v>
      </c>
      <c r="C8" s="35">
        <v>9300</v>
      </c>
      <c r="D8" s="36">
        <v>0.73142603049990573</v>
      </c>
      <c r="E8" s="51" t="s">
        <v>138</v>
      </c>
    </row>
    <row r="9" spans="1:7" x14ac:dyDescent="0.25">
      <c r="A9" s="50">
        <v>6</v>
      </c>
      <c r="B9" s="34" t="s">
        <v>51</v>
      </c>
      <c r="C9" s="35">
        <v>8370</v>
      </c>
      <c r="D9" s="36">
        <v>0.78642837428755419</v>
      </c>
      <c r="E9" s="51" t="s">
        <v>113</v>
      </c>
    </row>
    <row r="11" spans="1:7" x14ac:dyDescent="0.25">
      <c r="A11" t="s">
        <v>114</v>
      </c>
    </row>
    <row r="12" spans="1:7" ht="15.75" x14ac:dyDescent="0.25">
      <c r="B12" s="52" t="s">
        <v>115</v>
      </c>
    </row>
    <row r="13" spans="1:7" ht="15.75" x14ac:dyDescent="0.25">
      <c r="B13" s="52" t="s">
        <v>134</v>
      </c>
    </row>
    <row r="15" spans="1:7" x14ac:dyDescent="0.25">
      <c r="A15" t="s">
        <v>116</v>
      </c>
    </row>
    <row r="16" spans="1:7" x14ac:dyDescent="0.25">
      <c r="A16" t="s">
        <v>117</v>
      </c>
    </row>
    <row r="17" spans="1:5" x14ac:dyDescent="0.25">
      <c r="B17" t="s">
        <v>120</v>
      </c>
    </row>
    <row r="18" spans="1:5" x14ac:dyDescent="0.25">
      <c r="B18" t="s">
        <v>118</v>
      </c>
    </row>
    <row r="19" spans="1:5" x14ac:dyDescent="0.25">
      <c r="B19" t="s">
        <v>135</v>
      </c>
    </row>
    <row r="20" spans="1:5" x14ac:dyDescent="0.25">
      <c r="B20" t="s">
        <v>119</v>
      </c>
    </row>
    <row r="21" spans="1:5" x14ac:dyDescent="0.25">
      <c r="B21" t="s">
        <v>126</v>
      </c>
    </row>
    <row r="22" spans="1:5" ht="21.75" customHeight="1" x14ac:dyDescent="0.25">
      <c r="A22" s="87" t="s">
        <v>127</v>
      </c>
      <c r="B22" s="87"/>
      <c r="C22" s="87"/>
      <c r="D22" s="87"/>
      <c r="E22" s="87"/>
    </row>
    <row r="23" spans="1:5" x14ac:dyDescent="0.25">
      <c r="A23" t="s">
        <v>121</v>
      </c>
    </row>
    <row r="24" spans="1:5" x14ac:dyDescent="0.25">
      <c r="A24" t="s">
        <v>122</v>
      </c>
    </row>
  </sheetData>
  <mergeCells count="1"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COSTOS</vt:lpstr>
      <vt:lpstr>grafico</vt:lpstr>
      <vt:lpstr>ANALISIS</vt:lpstr>
    </vt:vector>
  </TitlesOfParts>
  <Company>Empresa Ferroviaria Andina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</dc:creator>
  <cp:lastModifiedBy>HOME</cp:lastModifiedBy>
  <cp:lastPrinted>2014-11-17T23:06:29Z</cp:lastPrinted>
  <dcterms:created xsi:type="dcterms:W3CDTF">2014-11-14T14:58:11Z</dcterms:created>
  <dcterms:modified xsi:type="dcterms:W3CDTF">2019-11-29T02:14:37Z</dcterms:modified>
</cp:coreProperties>
</file>