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DOCENCIA_REV\DIRECC_SIST_2018\"/>
    </mc:Choice>
  </mc:AlternateContent>
  <bookViews>
    <workbookView xWindow="120" yWindow="105" windowWidth="15180" windowHeight="8835"/>
  </bookViews>
  <sheets>
    <sheet name="Hoja1" sheetId="1" r:id="rId1"/>
    <sheet name="Hoja2" sheetId="2" r:id="rId2"/>
    <sheet name="Hoja3" sheetId="3" r:id="rId3"/>
  </sheets>
  <calcPr calcId="152511"/>
</workbook>
</file>

<file path=xl/calcChain.xml><?xml version="1.0" encoding="utf-8"?>
<calcChain xmlns="http://schemas.openxmlformats.org/spreadsheetml/2006/main">
  <c r="K64" i="1" l="1"/>
  <c r="D37" i="1"/>
  <c r="D38" i="1"/>
  <c r="D39" i="1"/>
  <c r="D36" i="1"/>
  <c r="C36" i="1"/>
  <c r="C40" i="1" l="1"/>
  <c r="K63" i="1" l="1"/>
  <c r="K60" i="1"/>
  <c r="K61" i="1" s="1"/>
  <c r="K54" i="1"/>
  <c r="K57" i="1" s="1"/>
  <c r="K53" i="1"/>
  <c r="J48" i="1"/>
  <c r="J49" i="1" s="1"/>
  <c r="J50" i="1" s="1"/>
  <c r="K65" i="1" l="1"/>
  <c r="K66" i="1" s="1"/>
  <c r="K67" i="1" s="1"/>
  <c r="D45" i="1"/>
  <c r="C54" i="1" s="1"/>
  <c r="F27" i="1"/>
  <c r="G27" i="1" s="1"/>
  <c r="H27" i="1" s="1"/>
  <c r="F28" i="1"/>
  <c r="G28" i="1" s="1"/>
  <c r="H28" i="1" s="1"/>
  <c r="F29" i="1"/>
  <c r="G29" i="1" s="1"/>
  <c r="H29" i="1" s="1"/>
  <c r="F30" i="1"/>
  <c r="G30" i="1" s="1"/>
  <c r="H30" i="1" s="1"/>
  <c r="F31" i="1"/>
  <c r="G31" i="1" s="1"/>
  <c r="H31" i="1" s="1"/>
  <c r="F26" i="1"/>
  <c r="G26" i="1" s="1"/>
  <c r="H26" i="1" s="1"/>
  <c r="D40" i="1" l="1"/>
  <c r="C53" i="1" s="1"/>
  <c r="H32" i="1"/>
  <c r="C52" i="1" s="1"/>
  <c r="D31" i="2"/>
  <c r="D32" i="2" s="1"/>
  <c r="E31" i="2"/>
  <c r="E32" i="2" s="1"/>
  <c r="C55" i="1" l="1"/>
  <c r="C56" i="1" s="1"/>
  <c r="C94" i="1" s="1"/>
  <c r="C57" i="1" l="1"/>
  <c r="C58" i="1"/>
  <c r="C59" i="1" l="1"/>
  <c r="F70" i="1" l="1"/>
  <c r="C74" i="1" s="1"/>
  <c r="C78" i="1" l="1"/>
  <c r="C80" i="1" s="1"/>
  <c r="C92" i="1" l="1"/>
  <c r="C97" i="1" s="1"/>
  <c r="F97" i="1" s="1"/>
  <c r="C79" i="1"/>
</calcChain>
</file>

<file path=xl/sharedStrings.xml><?xml version="1.0" encoding="utf-8"?>
<sst xmlns="http://schemas.openxmlformats.org/spreadsheetml/2006/main" count="188" uniqueCount="178">
  <si>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</si>
  <si>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</si>
  <si>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</si>
  <si>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</si>
  <si>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</si>
  <si>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 xml:space="preserve"> - Hay vuelos diarios entre Sao Paulo - Munich por Lufthansa a hrs. 22,00 </t>
  </si>
  <si>
    <t>COSTOS:</t>
  </si>
  <si>
    <t>item</t>
  </si>
  <si>
    <t>vida útil (años)</t>
  </si>
  <si>
    <t>depreciación anual US$</t>
  </si>
  <si>
    <t xml:space="preserve">detalle </t>
  </si>
  <si>
    <t>costo US$</t>
  </si>
  <si>
    <t xml:space="preserve"> - Se firma un acuerdo comercial para la provisión de rosas por tres años que es IGUAL A LA VIDA ÚTIL POR LA INVERSIÓN.</t>
  </si>
  <si>
    <t>valor residual us$</t>
  </si>
  <si>
    <t>valor de reposición US$</t>
  </si>
  <si>
    <t>depreciación mensual Bs. (Tc 6,96)</t>
  </si>
  <si>
    <t>Viveros y carpas solares</t>
  </si>
  <si>
    <t>Laboratorio de control cal.</t>
  </si>
  <si>
    <t>Investigación e inseminación</t>
  </si>
  <si>
    <t>Equipos de riego</t>
  </si>
  <si>
    <t>Software; PCs; Oficinas</t>
  </si>
  <si>
    <t>Camioneta</t>
  </si>
  <si>
    <t>detalle</t>
  </si>
  <si>
    <t>costo total Bs/mes</t>
  </si>
  <si>
    <t>Costo empresa Bs/mes</t>
  </si>
  <si>
    <t>1 Ingeniero Agrónomo c/experiencia</t>
  </si>
  <si>
    <t>1 Ingeniero comercial Jr.</t>
  </si>
  <si>
    <t>2 Personal administrativo sueldo 2500 Bs/mes</t>
  </si>
  <si>
    <t xml:space="preserve">3.- GASTOS DE PRODUCCIÓN: </t>
  </si>
  <si>
    <r>
      <t xml:space="preserve">2.- GASTOS OPERATIVOS: </t>
    </r>
    <r>
      <rPr>
        <sz val="10"/>
        <rFont val="Arial Narrow"/>
        <family val="2"/>
      </rPr>
      <t>Para implementar este proyecto se requiere de los siguientes gastos adicionales:</t>
    </r>
  </si>
  <si>
    <r>
      <t>1.- INVERSIONES:</t>
    </r>
    <r>
      <rPr>
        <sz val="10"/>
        <rFont val="Arial Narrow"/>
        <family val="2"/>
      </rPr>
      <t xml:space="preserve"> Para atender SOLAMENTE ESTE CONTRATO se efectúan las siguientes inversiones:</t>
    </r>
  </si>
  <si>
    <t>4.- GASTOS ADMINISTRATIVOS Y TASAS:</t>
  </si>
  <si>
    <t>2.-</t>
  </si>
  <si>
    <t>1.-</t>
  </si>
  <si>
    <t>3.-</t>
  </si>
  <si>
    <t>PREGUNTAS PARTE A:</t>
  </si>
  <si>
    <t>PREGUNTAS PARTE B:</t>
  </si>
  <si>
    <t xml:space="preserve"> - La cantidad mensual que deben atender es de 2160 gruesas de flores: la gruesa contiene 3 docenas de rosas. Y solo se envían 6 meses de Nov. A Abril</t>
  </si>
  <si>
    <t>Cuál es el COSTO DE PRODUCCION DE UNA GRUESA PUESTO EN AEROPUERTO DE MUNICH - ALEMANIA?. (15 PUNTOS)</t>
  </si>
  <si>
    <t>Si mi utilidad asumo en un 30%, cuál será el precio de venta en el mercado europeo? (sin considerar los costos de diStribución). (10 PUNTOS)</t>
  </si>
  <si>
    <t xml:space="preserve"> - Asuma con aproximación los tiempos de demora en todo el proceso, desde la poda, selección, clasificación control de calidad, documentos  empaque en el contenedor refrigerado, transporte etc.</t>
  </si>
  <si>
    <t xml:space="preserve"> - Los gastos administrativos se consolidan en un 10% del gasto mensual (suma de ítems 1+2+3+costo transporte))</t>
  </si>
  <si>
    <t xml:space="preserve"> - Los gastos por tasas e impuestos globalizan un 6% del gasto mensual (suma de ítems 1+2+3+4+costo transporte)</t>
  </si>
  <si>
    <t>4.-</t>
  </si>
  <si>
    <t>Cuál es el costo de producción de 1 rosa en el aeropuerto de Munich?. (10 PUNTOS)</t>
  </si>
  <si>
    <t>Cual es la Utlidad o margen operativo mensual? (Precio de venta con utilidad - Gastos totales) (15 PUNTOS)</t>
  </si>
  <si>
    <t xml:space="preserve"> - Tiempos de transporte vía aérea: Cbba-Sta. Cruz = 1Hora; Sta. Cruz - Sao Paulo = 4 Horas, Sao Paulo - Munich = 12 Horas. </t>
  </si>
  <si>
    <t xml:space="preserve">nro. </t>
  </si>
  <si>
    <t>proceso</t>
  </si>
  <si>
    <t>tiempo planif. (hrs.)</t>
  </si>
  <si>
    <t>tiempo real (hrs.)</t>
  </si>
  <si>
    <t>poda de las flores</t>
  </si>
  <si>
    <t>transporte al almacén</t>
  </si>
  <si>
    <t>almacenaje</t>
  </si>
  <si>
    <t>selección de tamaños</t>
  </si>
  <si>
    <t>deshojado</t>
  </si>
  <si>
    <t>control de calidad</t>
  </si>
  <si>
    <t>empaque</t>
  </si>
  <si>
    <t>sello al vacío</t>
  </si>
  <si>
    <t>etiquetado</t>
  </si>
  <si>
    <t>Transp. Vivero - aerop. Cbba.</t>
  </si>
  <si>
    <t>acomodación en contenedores</t>
  </si>
  <si>
    <t>transp. Cbba. -sta. Cruz</t>
  </si>
  <si>
    <t>transbordo carga en sta. Cruz</t>
  </si>
  <si>
    <t>documentos aduana, tif/fta,sensag</t>
  </si>
  <si>
    <t>transp. Sta cruz - sao paulo</t>
  </si>
  <si>
    <t>transbordo carga en sao paulo</t>
  </si>
  <si>
    <t>documentos de exportación</t>
  </si>
  <si>
    <t>transporte sao paulo - munich</t>
  </si>
  <si>
    <t>descarga en aerop. Munich</t>
  </si>
  <si>
    <t>entrega en bodegas de aduana</t>
  </si>
  <si>
    <t>entrega al cliente.</t>
  </si>
  <si>
    <t>armado de las gruesas</t>
  </si>
  <si>
    <t>control fitosanitario en SP</t>
  </si>
  <si>
    <t>control de todos los documentos</t>
  </si>
  <si>
    <t>control de documentos en aerop.</t>
  </si>
  <si>
    <t>dif. Real - planif.</t>
  </si>
  <si>
    <t>Obsrervac.</t>
  </si>
  <si>
    <t>tiempo total en hrs.</t>
  </si>
  <si>
    <t>tiempo en días</t>
  </si>
  <si>
    <t>En la exportación de flores se ha controlado los tiempos planificados y reales y se ha obtenido el siguiente cuadro:</t>
  </si>
  <si>
    <t>2.- Analice con la espina de pez cualquiera de las causas vitales que sean controlables; y elabore la matríz imple-</t>
  </si>
  <si>
    <t xml:space="preserve">3.- Si se producen en total 3.600.000 flores, y el costo de la primera docena en el vivero ha sido de Bs. 9,6; deter- </t>
  </si>
  <si>
    <t xml:space="preserve">mine el costo de la la última docena si el coef. de conocimiento y experiencia es del 92%?.  B) qué porcentaje ha </t>
  </si>
  <si>
    <t>1.- Qué es un sistema?, con este concepto esquematice el Sistema de la UTO.</t>
  </si>
  <si>
    <t>2.- Actualmente de quién es Ud. PROVEEDOR y de quién es CLIENTE?</t>
  </si>
  <si>
    <t>3.- Qué significa: Outsourcing; Feed back; Bench marking?</t>
  </si>
  <si>
    <t>4.- En el hábito de la gente altamente efectiva, cuál es el que se ocupa de la integridad física y mental?</t>
  </si>
  <si>
    <t>can las organizaciones?.</t>
  </si>
  <si>
    <t>1.- Determine el 20% vital y 80% trivial  a) de los +  ;  b) de los -   (VALE 25%)</t>
  </si>
  <si>
    <t>bajado el costo de producción entre la 1ra. Y la última docena?. (VALE 10 Y 10%)</t>
  </si>
  <si>
    <t>mentación - impacto. (VALE 15 Y 10%)</t>
  </si>
  <si>
    <t>TEORÍA (VALE 30%)</t>
  </si>
  <si>
    <t>EXAMEN DE PRIMERA REVALIDA - LA DIRECCION POR SISTEMAS</t>
  </si>
  <si>
    <t>Oruro, 8 dic. 2012</t>
  </si>
  <si>
    <t>5.- Cuál es la diferencia entre una persona COMPROMETIDA  y una persona APROPIADA?, y cuál de ellas bus-</t>
  </si>
  <si>
    <t xml:space="preserve"> - El contenedor especial  que ofrecen para cargar VIA AÉREA tiene las dimensiones: Largo = 90 cm; Ancho = 60 cm;  Alto = 45 cm</t>
  </si>
  <si>
    <t xml:space="preserve"> - La vida útil y óptima para la venta es  máximo 10 días, desde su cosecha.</t>
  </si>
  <si>
    <t xml:space="preserve"> - Hay vuelos diarios por BOA entre Cbba. - Sta. Cruz y deben embarcar en el vuelo de las 10,00 máximo. De  Sta. Cruz a Sao Paulo en Brasil vuelos diarios salen a hrs. 12,20.</t>
  </si>
  <si>
    <t>SUBTOTAL 1</t>
  </si>
  <si>
    <t>Es la planilla mensual de sueldos</t>
  </si>
  <si>
    <t>INVERSIONES</t>
  </si>
  <si>
    <t>GASTOS OPERATIVOS</t>
  </si>
  <si>
    <t>Bs/mes</t>
  </si>
  <si>
    <t>SUBTOTAL 2</t>
  </si>
  <si>
    <t>SUBTOTAL 3</t>
  </si>
  <si>
    <t>GASTOS PROD. Bs/mes</t>
  </si>
  <si>
    <t>GASTOS DE PRODUCCION</t>
  </si>
  <si>
    <t>COSTO DE TRANSPORTE:</t>
  </si>
  <si>
    <t>PRODUCCION:</t>
  </si>
  <si>
    <t xml:space="preserve">1 Gruesa = 3 docenas = </t>
  </si>
  <si>
    <t>flores</t>
  </si>
  <si>
    <t>Rosas/mes</t>
  </si>
  <si>
    <t>Cantidad producc/mes = 36 flores*2160 gruesas =</t>
  </si>
  <si>
    <t>Producción/año (6 meses) = 77760 * 6</t>
  </si>
  <si>
    <t>Rosas/6 meses</t>
  </si>
  <si>
    <t>TRANSPORTE:</t>
  </si>
  <si>
    <t>Cada gruesa se empaca en caja de 45x30x15cm</t>
  </si>
  <si>
    <t xml:space="preserve">El contenedor mide 90x60x45 cm </t>
  </si>
  <si>
    <t>Volumen =</t>
  </si>
  <si>
    <t>cm3</t>
  </si>
  <si>
    <t>CANTIDAD DE CAJAS QUE CABEN EN EL CONTENEDOR:</t>
  </si>
  <si>
    <t>pzas.</t>
  </si>
  <si>
    <t>CANTIDAD DE CONTENEDORES/MES NECESARIOS:</t>
  </si>
  <si>
    <t>Vol contenedor/Vol caja =</t>
  </si>
  <si>
    <t>Necesito transp. 2160 gruesas al mes = 2160 cajas/12 cajas por contenedor</t>
  </si>
  <si>
    <t>Contenedores/mes</t>
  </si>
  <si>
    <t>Medidas del contenedor en cm/6000 (kg) = 90x60x45/6000</t>
  </si>
  <si>
    <t>Kgs.</t>
  </si>
  <si>
    <t>US$</t>
  </si>
  <si>
    <t>US$/mes</t>
  </si>
  <si>
    <t>COSTO DE TRANSPORTE</t>
  </si>
  <si>
    <t>TOTAL COSTOS DIRECTOS</t>
  </si>
  <si>
    <t>G. ADMINISTRATIVOS 10%</t>
  </si>
  <si>
    <t>TASAS E IMPUESTOS 6%</t>
  </si>
  <si>
    <t xml:space="preserve"> = COSTO DE PRODUCCION EX WORK</t>
  </si>
  <si>
    <t>TOTAL COSTO PRODUCCION PUESTO ALEMANIA</t>
  </si>
  <si>
    <t>Bs.</t>
  </si>
  <si>
    <t>COSTO DE UNA ROSA PUESTO MUNICH =</t>
  </si>
  <si>
    <t>Bs</t>
  </si>
  <si>
    <t>PRECIO DE VENTA POR UNIDAD =</t>
  </si>
  <si>
    <t>Euros</t>
  </si>
  <si>
    <t xml:space="preserve"> = DE LAS 2160 GRUESAS/MES</t>
  </si>
  <si>
    <t xml:space="preserve">MONTO TOTAL CON UTILIDAD = </t>
  </si>
  <si>
    <t xml:space="preserve">                   GASTOS TOTALES = COSTO DE PRODUCCION EX WORK</t>
  </si>
  <si>
    <t xml:space="preserve">GASTOS TOTALES = </t>
  </si>
  <si>
    <t>MARGEN OPERATIVO = MONTO CON UTILIDAD - COSTOS OPERATIVOS</t>
  </si>
  <si>
    <t xml:space="preserve">MARGEN OPERATIVO = </t>
  </si>
  <si>
    <t xml:space="preserve"> =&gt; SIGNIFICA UN: </t>
  </si>
  <si>
    <t>% DE LOS COSTOS</t>
  </si>
  <si>
    <t>Contenedores/dia</t>
  </si>
  <si>
    <t>QUE SE PUEDE HACER PARA BAJAR NUESTRO PRECIO DE VENTA Y SER MAS COMPETITIVOS?</t>
  </si>
  <si>
    <t xml:space="preserve"> - Si observamos los 4 costos del resumen el mas relevante es el COSTO DE TRANSPORTE</t>
  </si>
  <si>
    <t xml:space="preserve"> - Cualquier acción que se haga en este aspecto irá directamente a bajar el precio de venta</t>
  </si>
  <si>
    <t xml:space="preserve"> - Ejm. Negociación con la linea aérea, ayuda del gobierno, ver nuevas empresas opcion de rutas aéreas etc.</t>
  </si>
  <si>
    <t xml:space="preserve"> - VEMOS QUE BAJA A 7,56 Bs!!!! Osea un 7,29/8,27 = 11,8%, casi 12% . VEN CUAN IMPORTANTE ES LA LOGÍSTICA Y SUS COSTOS???.</t>
  </si>
  <si>
    <t>Los gastos de producción que toma en cuenta: semillas; riego; servicios básicos como agua, luz, comunicación, combustibles etc. globaliza un MONTO MENSUAL  = 60.000 Bs/año.</t>
  </si>
  <si>
    <t xml:space="preserve"> - Hagan un ejercicio bajando el costo de transporte en 1 Bs por kg del cont., asumiendo que en vez de pagar 7 negociando con la linea aerea pagamos 6Bs/kg (celda K93)</t>
  </si>
  <si>
    <t>US$/cont.</t>
  </si>
  <si>
    <t>Bs/Rosa TRANSP.</t>
  </si>
  <si>
    <t xml:space="preserve"> 1E=8,5Bs.</t>
  </si>
  <si>
    <t>1.- CUAL ES EL COSTO DE UNA ROSA PUESTO EN LOS MERCADOS DE ALEMANIA?</t>
  </si>
  <si>
    <t>2.- CUAL ES EL PRECIO DE VENTA SI TENEMOS UN MARGEN DE GANANCIA DEL 30%?</t>
  </si>
  <si>
    <t>4.- SI NO SOMOS, QUE ACCIONES SE RECOMIENDAN?.</t>
  </si>
  <si>
    <t xml:space="preserve">EJEMPLO RESUELTO - COSTOS </t>
  </si>
  <si>
    <t>Contratación de 10 operarios con sueldo 2122 Bs/mes</t>
  </si>
  <si>
    <t>CUADRO RESUMEN</t>
  </si>
  <si>
    <t>El precio de transporte por cada KG = 7,8 US$/kg.</t>
  </si>
  <si>
    <t>Costo de cada contenedor = 40,5Kgs x 7,8 US$/kg</t>
  </si>
  <si>
    <t>Costo de los 180 contenedores = 180 x 315,9</t>
  </si>
  <si>
    <t>COSTO TOTAL DE PRODUCC. PUESTO ALEMANIA/ TOTAL PRODUCCION MES = 552491,7/2160 =</t>
  </si>
  <si>
    <t xml:space="preserve"> = COSTO DE UNA GRUESA</t>
  </si>
  <si>
    <t>3.- SI LA COMPETENCIA VENDE CADA FLOR EN 0,85 E. SOMOS COMPETITIVOS?</t>
  </si>
  <si>
    <t>FRENTE A 0,85 E QUE VENDE LA COMPETENCIA</t>
  </si>
  <si>
    <t xml:space="preserve"> - tambien para hacer competitivo el negocio podemos eliminar 1 aguinaldo del personal administrativo</t>
  </si>
  <si>
    <t>ORURO, 29 nov. 2018</t>
  </si>
  <si>
    <t>MONTO TOTAL CON UTILIDAD = Precio de cada rosa x cant. De rosas = 9,24 x 77760 rosas/mes</t>
  </si>
  <si>
    <t>ES TAMBIEN MUY ALTA ESTA UTILIDAD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</si>
</sst>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ont>
    <font>
      <b/>
      <sz val="10"/>
      <name val="Arial Narrow"/>
      <family val="2"/>
    </font>
    <font>
      <sz val="10"/>
      <name val="Arial Narrow"/>
      <family val="2"/>
    </font>
    <font>
      <sz val="10"/>
      <name val="Arial"/>
    </font>
    <font>
      <b/>
      <sz val="10"/>
      <name val="Arial"/>
      <family val="2"/>
    </font>
    <font>
      <sz val="10"/>
      <color rgb="FFFF0000"/>
      <name val="Arial Narrow"/>
      <family val="2"/>
    </font>
    <font>
      <b/>
      <sz val="10"/>
      <color rgb="FFFF0000"/>
      <name val="Arial Narrow"/>
      <family val="2"/>
    </font>
    <font>
      <b/>
      <sz val="10"/>
      <color theme="0"/>
      <name val="Arial Narrow"/>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97">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5" xfId="0" applyFont="1" applyBorder="1"/>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right"/>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4" fillId="0" borderId="0" xfId="0" applyFont="1" applyAlignment="1">
      <alignment horizontal="center"/>
    </xf>
    <xf numFmtId="0" fontId="0" fillId="0" borderId="1" xfId="0" applyBorder="1"/>
    <xf numFmtId="0" fontId="0" fillId="0" borderId="5" xfId="0" applyBorder="1"/>
    <xf numFmtId="0" fontId="4" fillId="0" borderId="6"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0" fillId="0" borderId="2" xfId="0" applyBorder="1"/>
    <xf numFmtId="0" fontId="4" fillId="0" borderId="7" xfId="0" applyFont="1" applyBorder="1"/>
    <xf numFmtId="164" fontId="4" fillId="0" borderId="8" xfId="0" applyNumberFormat="1" applyFont="1" applyBorder="1"/>
    <xf numFmtId="0" fontId="4" fillId="0" borderId="9" xfId="0" applyFont="1" applyBorder="1"/>
    <xf numFmtId="164" fontId="4" fillId="0" borderId="10" xfId="0" applyNumberFormat="1" applyFont="1" applyBorder="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xf numFmtId="1" fontId="2" fillId="0" borderId="5" xfId="0" applyNumberFormat="1" applyFont="1" applyBorder="1"/>
    <xf numFmtId="1" fontId="2" fillId="0" borderId="1" xfId="0" applyNumberFormat="1" applyFont="1" applyBorder="1"/>
    <xf numFmtId="1" fontId="2" fillId="0" borderId="2" xfId="0" applyNumberFormat="1" applyFont="1" applyBorder="1"/>
    <xf numFmtId="1" fontId="5" fillId="0" borderId="5" xfId="0" applyNumberFormat="1" applyFont="1" applyBorder="1"/>
    <xf numFmtId="164" fontId="5" fillId="0" borderId="5" xfId="0" applyNumberFormat="1" applyFont="1" applyBorder="1"/>
    <xf numFmtId="164" fontId="6" fillId="0" borderId="4" xfId="0" applyNumberFormat="1" applyFont="1" applyBorder="1"/>
    <xf numFmtId="0" fontId="5" fillId="0" borderId="5" xfId="0" applyFont="1" applyBorder="1"/>
    <xf numFmtId="0" fontId="5" fillId="0" borderId="1" xfId="0" applyFont="1" applyBorder="1"/>
    <xf numFmtId="0" fontId="5" fillId="0" borderId="2" xfId="0" applyFont="1" applyBorder="1"/>
    <xf numFmtId="0" fontId="5" fillId="0" borderId="0" xfId="0" applyFont="1"/>
    <xf numFmtId="0" fontId="5" fillId="0" borderId="0" xfId="0" applyFont="1" applyAlignment="1">
      <alignment horizontal="right"/>
    </xf>
    <xf numFmtId="0" fontId="5" fillId="0" borderId="1" xfId="0" applyFont="1" applyBorder="1" applyAlignment="1">
      <alignment horizontal="right"/>
    </xf>
    <xf numFmtId="0" fontId="1" fillId="0" borderId="1" xfId="0" applyFont="1" applyBorder="1" applyAlignment="1">
      <alignment horizontal="center" wrapText="1"/>
    </xf>
    <xf numFmtId="0" fontId="5" fillId="0" borderId="0" xfId="0" applyFont="1" applyBorder="1" applyAlignment="1">
      <alignment horizontal="right"/>
    </xf>
    <xf numFmtId="0" fontId="5" fillId="0" borderId="0" xfId="0" applyFont="1" applyBorder="1"/>
    <xf numFmtId="0" fontId="1" fillId="0" borderId="0" xfId="0" applyFont="1" applyBorder="1" applyAlignment="1">
      <alignment horizontal="center" wrapText="1"/>
    </xf>
    <xf numFmtId="164" fontId="5" fillId="0" borderId="0" xfId="0" applyNumberFormat="1" applyFont="1" applyBorder="1"/>
    <xf numFmtId="164" fontId="6" fillId="0" borderId="0" xfId="0" applyNumberFormat="1" applyFont="1" applyBorder="1"/>
    <xf numFmtId="0" fontId="6" fillId="0" borderId="0" xfId="0" applyFont="1"/>
    <xf numFmtId="0" fontId="6" fillId="0" borderId="16" xfId="0" applyFont="1" applyBorder="1"/>
    <xf numFmtId="0" fontId="6" fillId="0" borderId="17" xfId="0" applyFont="1" applyBorder="1"/>
    <xf numFmtId="2" fontId="2" fillId="0" borderId="0" xfId="0" applyNumberFormat="1" applyFont="1"/>
    <xf numFmtId="2" fontId="6" fillId="0" borderId="0" xfId="0" applyNumberFormat="1" applyFont="1"/>
    <xf numFmtId="164" fontId="6" fillId="0" borderId="0" xfId="0" applyNumberFormat="1" applyFont="1"/>
    <xf numFmtId="0" fontId="6" fillId="0" borderId="0" xfId="0" applyFont="1" applyAlignment="1">
      <alignment horizontal="center"/>
    </xf>
    <xf numFmtId="164" fontId="6" fillId="0" borderId="16" xfId="0" applyNumberFormat="1" applyFont="1" applyBorder="1"/>
    <xf numFmtId="2" fontId="6" fillId="0" borderId="16" xfId="0" applyNumberFormat="1" applyFont="1" applyBorder="1"/>
    <xf numFmtId="0" fontId="6" fillId="0" borderId="0" xfId="0" applyFont="1" applyAlignment="1">
      <alignment horizontal="right"/>
    </xf>
    <xf numFmtId="0" fontId="6" fillId="2" borderId="16" xfId="0" applyFont="1" applyFill="1" applyBorder="1"/>
    <xf numFmtId="0" fontId="6" fillId="2" borderId="18" xfId="0" applyFont="1" applyFill="1" applyBorder="1"/>
    <xf numFmtId="164" fontId="6" fillId="2" borderId="17" xfId="0" applyNumberFormat="1" applyFont="1" applyFill="1" applyBorder="1"/>
    <xf numFmtId="0" fontId="6" fillId="2" borderId="0" xfId="0" applyFont="1" applyFill="1"/>
    <xf numFmtId="164" fontId="6" fillId="2" borderId="0" xfId="0" applyNumberFormat="1" applyFont="1" applyFill="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right"/>
    </xf>
    <xf numFmtId="2" fontId="7" fillId="3" borderId="16" xfId="0" applyNumberFormat="1" applyFont="1" applyFill="1" applyBorder="1"/>
    <xf numFmtId="0" fontId="7" fillId="3" borderId="17" xfId="0" applyFont="1" applyFill="1" applyBorder="1"/>
    <xf numFmtId="2" fontId="7" fillId="3" borderId="0" xfId="0" applyNumberFormat="1" applyFont="1" applyFill="1"/>
    <xf numFmtId="0" fontId="7" fillId="3" borderId="0" xfId="0" applyFont="1" applyFill="1"/>
    <xf numFmtId="0" fontId="2" fillId="0" borderId="0" xfId="0" applyFont="1" applyFill="1" applyAlignment="1">
      <alignment horizontal="right"/>
    </xf>
    <xf numFmtId="0" fontId="7" fillId="0" borderId="0" xfId="0" applyFont="1" applyFill="1" applyAlignment="1">
      <alignment horizontal="right"/>
    </xf>
    <xf numFmtId="2" fontId="7" fillId="0" borderId="0" xfId="0" applyNumberFormat="1" applyFont="1" applyFill="1"/>
    <xf numFmtId="0" fontId="7" fillId="0" borderId="0" xfId="0" applyFont="1" applyFill="1"/>
    <xf numFmtId="0" fontId="2" fillId="0" borderId="0" xfId="0" applyFont="1" applyFill="1"/>
    <xf numFmtId="0" fontId="6" fillId="0" borderId="0" xfId="0" applyFont="1" applyFill="1" applyAlignment="1">
      <alignment horizontal="left"/>
    </xf>
    <xf numFmtId="2" fontId="6" fillId="0" borderId="0" xfId="0" applyNumberFormat="1" applyFont="1" applyFill="1"/>
    <xf numFmtId="0" fontId="6" fillId="0" borderId="0" xfId="0" applyFont="1" applyFill="1"/>
    <xf numFmtId="0" fontId="5" fillId="0" borderId="0" xfId="0" applyFont="1" applyFill="1"/>
    <xf numFmtId="0" fontId="5" fillId="0" borderId="0" xfId="0" applyFont="1" applyFill="1" applyAlignment="1">
      <alignment horizontal="left"/>
    </xf>
    <xf numFmtId="0" fontId="6" fillId="0" borderId="15" xfId="0" applyFont="1" applyBorder="1" applyAlignment="1">
      <alignment horizontal="right"/>
    </xf>
    <xf numFmtId="164" fontId="1" fillId="0" borderId="4" xfId="0" applyNumberFormat="1" applyFont="1" applyBorder="1"/>
    <xf numFmtId="0" fontId="2" fillId="0" borderId="0" xfId="0" applyFont="1" applyAlignment="1">
      <alignment horizontal="left" wrapText="1"/>
    </xf>
    <xf numFmtId="0" fontId="6" fillId="0" borderId="0" xfId="0" applyFont="1" applyAlignment="1">
      <alignment horizontal="right"/>
    </xf>
    <xf numFmtId="0" fontId="6" fillId="0" borderId="19" xfId="0" applyFont="1" applyBorder="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0" fontId="4" fillId="0" borderId="0" xfId="0" applyFont="1" applyAlignment="1">
      <alignment horizontal="center"/>
    </xf>
    <xf numFmtId="0" fontId="1" fillId="2"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2"/>
  <sheetViews>
    <sheetView tabSelected="1" topLeftCell="A75" workbookViewId="0">
      <selection activeCell="F91" sqref="F91"/>
    </sheetView>
  </sheetViews>
  <sheetFormatPr baseColWidth="10" defaultRowHeight="12.75" x14ac:dyDescent="0.2"/>
  <cols>
    <col min="1" max="1" width="3" customWidth="1"/>
    <col min="2" max="2" width="35" customWidth="1"/>
    <col min="3" max="4" width="12" customWidth="1"/>
    <col min="5" max="5" width="14.5703125" customWidth="1"/>
    <col min="6" max="6" width="13.140625" customWidth="1"/>
    <col min="7" max="7" width="13.42578125" customWidth="1"/>
    <col min="8" max="8" width="18.42578125" customWidth="1"/>
    <col min="9" max="9" width="16" customWidth="1"/>
    <col min="10" max="10" width="17.28515625" customWidth="1"/>
  </cols>
  <sheetData>
    <row r="2" spans="1:9" x14ac:dyDescent="0.2">
      <c r="A2" s="37" t="s">
        <v>164</v>
      </c>
    </row>
    <row r="3" spans="1:9" ht="15.75" customHeight="1" x14ac:dyDescent="0.2"/>
    <row r="4" spans="1:9" ht="24" customHeight="1" x14ac:dyDescent="0.2">
      <c r="A4" s="90" t="s">
        <v>1</v>
      </c>
      <c r="B4" s="90"/>
      <c r="C4" s="90"/>
      <c r="D4" s="90"/>
      <c r="E4" s="90"/>
      <c r="F4" s="90"/>
      <c r="G4" s="90"/>
      <c r="H4" s="90"/>
      <c r="I4" s="22"/>
    </row>
    <row r="5" spans="1:9" x14ac:dyDescent="0.2">
      <c r="A5" s="3" t="s">
        <v>0</v>
      </c>
      <c r="B5" s="4"/>
      <c r="C5" s="4"/>
      <c r="D5" s="4"/>
      <c r="E5" s="4"/>
      <c r="F5" s="4"/>
      <c r="G5" s="4"/>
      <c r="H5" s="4"/>
      <c r="I5" s="4"/>
    </row>
    <row r="6" spans="1:9" x14ac:dyDescent="0.2">
      <c r="A6" s="3" t="s">
        <v>12</v>
      </c>
      <c r="B6" s="3"/>
      <c r="C6" s="3"/>
      <c r="D6" s="3"/>
      <c r="E6" s="3"/>
      <c r="F6" s="3"/>
      <c r="G6" s="3"/>
      <c r="H6" s="3"/>
      <c r="I6" s="3"/>
    </row>
    <row r="7" spans="1:9" ht="14.25" customHeight="1" x14ac:dyDescent="0.2">
      <c r="A7" s="90" t="s">
        <v>37</v>
      </c>
      <c r="B7" s="90"/>
      <c r="C7" s="90"/>
      <c r="D7" s="90"/>
      <c r="E7" s="90"/>
      <c r="F7" s="90"/>
      <c r="G7" s="90"/>
      <c r="H7" s="90"/>
      <c r="I7" s="22"/>
    </row>
    <row r="8" spans="1:9" x14ac:dyDescent="0.2">
      <c r="A8" s="3" t="s">
        <v>2</v>
      </c>
      <c r="B8" s="3"/>
      <c r="C8" s="3"/>
      <c r="D8" s="3"/>
      <c r="E8" s="3"/>
      <c r="F8" s="3"/>
      <c r="G8" s="3"/>
      <c r="H8" s="3"/>
      <c r="I8" s="3"/>
    </row>
    <row r="9" spans="1:9" x14ac:dyDescent="0.2">
      <c r="A9" s="3" t="s">
        <v>96</v>
      </c>
      <c r="B9" s="3"/>
      <c r="C9" s="3"/>
      <c r="D9" s="3"/>
      <c r="E9" s="3"/>
      <c r="F9" s="3"/>
      <c r="G9" s="3"/>
      <c r="H9" s="3"/>
      <c r="I9" s="3"/>
    </row>
    <row r="10" spans="1:9" x14ac:dyDescent="0.2">
      <c r="A10" s="3" t="s">
        <v>97</v>
      </c>
      <c r="B10" s="3"/>
      <c r="C10" s="3"/>
      <c r="D10" s="3"/>
      <c r="E10" s="3"/>
      <c r="F10" s="3"/>
      <c r="G10" s="3"/>
      <c r="H10" s="3"/>
      <c r="I10" s="3"/>
    </row>
    <row r="11" spans="1:9" x14ac:dyDescent="0.2">
      <c r="A11" s="90" t="s">
        <v>98</v>
      </c>
      <c r="B11" s="90"/>
      <c r="C11" s="90"/>
      <c r="D11" s="90"/>
      <c r="E11" s="90"/>
      <c r="F11" s="90"/>
      <c r="G11" s="90"/>
      <c r="H11" s="90"/>
      <c r="I11" s="22"/>
    </row>
    <row r="12" spans="1:9" x14ac:dyDescent="0.2">
      <c r="A12" s="3" t="s">
        <v>5</v>
      </c>
      <c r="B12" s="3"/>
      <c r="C12" s="3"/>
      <c r="D12" s="3"/>
      <c r="E12" s="3"/>
      <c r="F12" s="3"/>
      <c r="G12" s="3"/>
      <c r="H12" s="3"/>
      <c r="I12" s="3"/>
    </row>
    <row r="13" spans="1:9" x14ac:dyDescent="0.2">
      <c r="A13" s="3" t="s">
        <v>46</v>
      </c>
      <c r="B13" s="3"/>
      <c r="C13" s="3"/>
      <c r="D13" s="3"/>
      <c r="E13" s="3"/>
      <c r="F13" s="3"/>
      <c r="G13" s="3"/>
      <c r="H13" s="3"/>
      <c r="I13" s="3"/>
    </row>
    <row r="14" spans="1:9" x14ac:dyDescent="0.2">
      <c r="A14" s="3" t="s">
        <v>3</v>
      </c>
      <c r="B14" s="3"/>
      <c r="C14" s="3"/>
      <c r="D14" s="3"/>
      <c r="E14" s="3"/>
      <c r="F14" s="3"/>
      <c r="G14" s="3"/>
      <c r="H14" s="3"/>
      <c r="I14" s="3"/>
    </row>
    <row r="15" spans="1:9" x14ac:dyDescent="0.2">
      <c r="A15" s="3"/>
      <c r="B15" s="3" t="s">
        <v>4</v>
      </c>
      <c r="C15" s="3"/>
      <c r="D15" s="3"/>
      <c r="E15" s="3"/>
      <c r="F15" s="3"/>
      <c r="G15" s="3"/>
      <c r="H15" s="3"/>
      <c r="I15" s="3"/>
    </row>
    <row r="16" spans="1:9" x14ac:dyDescent="0.2">
      <c r="A16" s="3"/>
      <c r="B16" s="3" t="s">
        <v>167</v>
      </c>
      <c r="C16" s="3"/>
      <c r="D16" s="3"/>
      <c r="E16" s="3"/>
      <c r="F16" s="3"/>
      <c r="G16" s="3"/>
      <c r="H16" s="3"/>
      <c r="I16" s="3"/>
    </row>
    <row r="17" spans="1:9" ht="24" customHeight="1" x14ac:dyDescent="0.2">
      <c r="A17" s="90" t="s">
        <v>40</v>
      </c>
      <c r="B17" s="90"/>
      <c r="C17" s="90"/>
      <c r="D17" s="90"/>
      <c r="E17" s="90"/>
      <c r="F17" s="90"/>
      <c r="G17" s="90"/>
      <c r="H17" s="90"/>
      <c r="I17" s="22"/>
    </row>
    <row r="18" spans="1:9" s="3" customFormat="1" x14ac:dyDescent="0.2">
      <c r="A18" s="2" t="s">
        <v>35</v>
      </c>
    </row>
    <row r="19" spans="1:9" s="3" customFormat="1" x14ac:dyDescent="0.2">
      <c r="A19" s="3" t="s">
        <v>161</v>
      </c>
    </row>
    <row r="20" spans="1:9" s="3" customFormat="1" x14ac:dyDescent="0.2">
      <c r="A20" s="3" t="s">
        <v>162</v>
      </c>
      <c r="H20" s="47"/>
    </row>
    <row r="21" spans="1:9" s="3" customFormat="1" x14ac:dyDescent="0.2">
      <c r="A21" s="3" t="s">
        <v>172</v>
      </c>
    </row>
    <row r="22" spans="1:9" s="3" customFormat="1" x14ac:dyDescent="0.2">
      <c r="A22" s="3" t="s">
        <v>163</v>
      </c>
    </row>
    <row r="23" spans="1:9" s="3" customFormat="1" x14ac:dyDescent="0.2">
      <c r="A23" s="2" t="s">
        <v>6</v>
      </c>
    </row>
    <row r="24" spans="1:9" s="3" customFormat="1" ht="13.5" thickBot="1" x14ac:dyDescent="0.25">
      <c r="A24" s="2" t="s">
        <v>30</v>
      </c>
    </row>
    <row r="25" spans="1:9" s="3" customFormat="1" ht="26.25" thickBot="1" x14ac:dyDescent="0.25">
      <c r="A25" s="12" t="s">
        <v>7</v>
      </c>
      <c r="B25" s="13" t="s">
        <v>10</v>
      </c>
      <c r="C25" s="13" t="s">
        <v>11</v>
      </c>
      <c r="D25" s="13" t="s">
        <v>8</v>
      </c>
      <c r="E25" s="13" t="s">
        <v>13</v>
      </c>
      <c r="F25" s="13" t="s">
        <v>14</v>
      </c>
      <c r="G25" s="13" t="s">
        <v>9</v>
      </c>
      <c r="H25" s="14" t="s">
        <v>15</v>
      </c>
      <c r="I25" s="53"/>
    </row>
    <row r="26" spans="1:9" s="3" customFormat="1" x14ac:dyDescent="0.2">
      <c r="A26" s="11">
        <v>1</v>
      </c>
      <c r="B26" s="11" t="s">
        <v>16</v>
      </c>
      <c r="C26" s="38">
        <v>20000</v>
      </c>
      <c r="D26" s="19">
        <v>3</v>
      </c>
      <c r="E26" s="11">
        <v>0</v>
      </c>
      <c r="F26" s="41">
        <f>C26-E26</f>
        <v>20000</v>
      </c>
      <c r="G26" s="42">
        <f>F26/D26</f>
        <v>6666.666666666667</v>
      </c>
      <c r="H26" s="42">
        <f>G26*6.96/12</f>
        <v>3866.6666666666665</v>
      </c>
      <c r="I26" s="54"/>
    </row>
    <row r="27" spans="1:9" s="3" customFormat="1" x14ac:dyDescent="0.2">
      <c r="A27" s="7">
        <v>2</v>
      </c>
      <c r="B27" s="7" t="s">
        <v>17</v>
      </c>
      <c r="C27" s="39">
        <v>20000</v>
      </c>
      <c r="D27" s="20">
        <v>3</v>
      </c>
      <c r="E27" s="7">
        <v>1000</v>
      </c>
      <c r="F27" s="41">
        <f>C27-E27</f>
        <v>19000</v>
      </c>
      <c r="G27" s="42">
        <f t="shared" ref="G27:G31" si="0">F27/D27</f>
        <v>6333.333333333333</v>
      </c>
      <c r="H27" s="42">
        <f t="shared" ref="H27:H31" si="1">G27*6.96/12</f>
        <v>3673.3333333333335</v>
      </c>
      <c r="I27" s="54"/>
    </row>
    <row r="28" spans="1:9" s="3" customFormat="1" x14ac:dyDescent="0.2">
      <c r="A28" s="7">
        <v>3</v>
      </c>
      <c r="B28" s="7" t="s">
        <v>18</v>
      </c>
      <c r="C28" s="39">
        <v>10000</v>
      </c>
      <c r="D28" s="20">
        <v>3</v>
      </c>
      <c r="E28" s="7">
        <v>0</v>
      </c>
      <c r="F28" s="41">
        <f t="shared" ref="F28:F31" si="2">C28-E28</f>
        <v>10000</v>
      </c>
      <c r="G28" s="42">
        <f t="shared" si="0"/>
        <v>3333.3333333333335</v>
      </c>
      <c r="H28" s="42">
        <f t="shared" si="1"/>
        <v>1933.3333333333333</v>
      </c>
      <c r="I28" s="54"/>
    </row>
    <row r="29" spans="1:9" s="3" customFormat="1" x14ac:dyDescent="0.2">
      <c r="A29" s="7">
        <v>4</v>
      </c>
      <c r="B29" s="7" t="s">
        <v>19</v>
      </c>
      <c r="C29" s="39">
        <v>5000</v>
      </c>
      <c r="D29" s="20">
        <v>3</v>
      </c>
      <c r="E29" s="7">
        <v>500</v>
      </c>
      <c r="F29" s="41">
        <f t="shared" si="2"/>
        <v>4500</v>
      </c>
      <c r="G29" s="42">
        <f t="shared" si="0"/>
        <v>1500</v>
      </c>
      <c r="H29" s="42">
        <f t="shared" si="1"/>
        <v>870</v>
      </c>
      <c r="I29" s="54"/>
    </row>
    <row r="30" spans="1:9" s="3" customFormat="1" x14ac:dyDescent="0.2">
      <c r="A30" s="7">
        <v>5</v>
      </c>
      <c r="B30" s="7" t="s">
        <v>20</v>
      </c>
      <c r="C30" s="39">
        <v>15000</v>
      </c>
      <c r="D30" s="20">
        <v>3</v>
      </c>
      <c r="E30" s="7">
        <v>600</v>
      </c>
      <c r="F30" s="41">
        <f t="shared" si="2"/>
        <v>14400</v>
      </c>
      <c r="G30" s="42">
        <f t="shared" si="0"/>
        <v>4800</v>
      </c>
      <c r="H30" s="42">
        <f t="shared" si="1"/>
        <v>2784</v>
      </c>
      <c r="I30" s="54"/>
    </row>
    <row r="31" spans="1:9" s="3" customFormat="1" ht="13.5" thickBot="1" x14ac:dyDescent="0.25">
      <c r="A31" s="7">
        <v>6</v>
      </c>
      <c r="B31" s="8" t="s">
        <v>21</v>
      </c>
      <c r="C31" s="40">
        <v>28000</v>
      </c>
      <c r="D31" s="21">
        <v>3</v>
      </c>
      <c r="E31" s="8">
        <v>8000</v>
      </c>
      <c r="F31" s="41">
        <f t="shared" si="2"/>
        <v>20000</v>
      </c>
      <c r="G31" s="42">
        <f t="shared" si="0"/>
        <v>6666.666666666667</v>
      </c>
      <c r="H31" s="42">
        <f t="shared" si="1"/>
        <v>3866.6666666666665</v>
      </c>
      <c r="I31" s="54"/>
    </row>
    <row r="32" spans="1:9" s="3" customFormat="1" ht="21" customHeight="1" thickBot="1" x14ac:dyDescent="0.25">
      <c r="B32" s="15"/>
      <c r="C32" s="9"/>
      <c r="D32" s="10"/>
      <c r="E32" s="10"/>
      <c r="F32" s="93" t="s">
        <v>99</v>
      </c>
      <c r="G32" s="94"/>
      <c r="H32" s="43">
        <f>SUM(H26:H31)</f>
        <v>16994</v>
      </c>
      <c r="I32" s="55"/>
    </row>
    <row r="33" spans="1:11" s="3" customFormat="1" ht="6" customHeight="1" x14ac:dyDescent="0.2"/>
    <row r="34" spans="1:11" s="3" customFormat="1" ht="13.5" thickBot="1" x14ac:dyDescent="0.25">
      <c r="A34" s="2" t="s">
        <v>29</v>
      </c>
    </row>
    <row r="35" spans="1:11" s="1" customFormat="1" ht="39" thickBot="1" x14ac:dyDescent="0.25">
      <c r="A35" s="12" t="s">
        <v>7</v>
      </c>
      <c r="B35" s="13" t="s">
        <v>22</v>
      </c>
      <c r="C35" s="13" t="s">
        <v>23</v>
      </c>
      <c r="D35" s="14" t="s">
        <v>24</v>
      </c>
      <c r="E35" s="5"/>
      <c r="F35" s="5"/>
      <c r="G35" s="5"/>
      <c r="H35" s="5"/>
      <c r="I35" s="5"/>
    </row>
    <row r="36" spans="1:11" s="3" customFormat="1" ht="25.5" x14ac:dyDescent="0.2">
      <c r="A36" s="11">
        <v>1</v>
      </c>
      <c r="B36" s="17" t="s">
        <v>165</v>
      </c>
      <c r="C36" s="44">
        <f>2122*10</f>
        <v>21220</v>
      </c>
      <c r="D36" s="44">
        <f>C36*1.42</f>
        <v>30132.399999999998</v>
      </c>
    </row>
    <row r="37" spans="1:11" s="3" customFormat="1" x14ac:dyDescent="0.2">
      <c r="A37" s="7">
        <v>2</v>
      </c>
      <c r="B37" s="16" t="s">
        <v>25</v>
      </c>
      <c r="C37" s="7">
        <v>10500</v>
      </c>
      <c r="D37" s="44">
        <f t="shared" ref="D37:D39" si="3">C37*1.42</f>
        <v>14910</v>
      </c>
    </row>
    <row r="38" spans="1:11" s="3" customFormat="1" x14ac:dyDescent="0.2">
      <c r="A38" s="7">
        <v>3</v>
      </c>
      <c r="B38" s="7" t="s">
        <v>26</v>
      </c>
      <c r="C38" s="7">
        <v>4500</v>
      </c>
      <c r="D38" s="44">
        <f t="shared" si="3"/>
        <v>6390</v>
      </c>
    </row>
    <row r="39" spans="1:11" s="3" customFormat="1" ht="13.5" thickBot="1" x14ac:dyDescent="0.25">
      <c r="A39" s="7">
        <v>4</v>
      </c>
      <c r="B39" s="18" t="s">
        <v>27</v>
      </c>
      <c r="C39" s="46">
        <v>5000</v>
      </c>
      <c r="D39" s="44">
        <f t="shared" si="3"/>
        <v>7100</v>
      </c>
    </row>
    <row r="40" spans="1:11" s="3" customFormat="1" ht="18" customHeight="1" thickBot="1" x14ac:dyDescent="0.25">
      <c r="B40" s="88" t="s">
        <v>104</v>
      </c>
      <c r="C40" s="89">
        <f>SUM(C36:C39)</f>
        <v>41220</v>
      </c>
      <c r="D40" s="43">
        <f>SUM(D36:D39)</f>
        <v>58532.399999999994</v>
      </c>
      <c r="E40" s="3" t="s">
        <v>100</v>
      </c>
    </row>
    <row r="41" spans="1:11" s="3" customFormat="1" x14ac:dyDescent="0.2"/>
    <row r="42" spans="1:11" s="3" customFormat="1" x14ac:dyDescent="0.2">
      <c r="A42" s="2" t="s">
        <v>28</v>
      </c>
    </row>
    <row r="43" spans="1:11" s="3" customFormat="1" ht="26.25" customHeight="1" x14ac:dyDescent="0.2">
      <c r="B43" s="90" t="s">
        <v>156</v>
      </c>
      <c r="C43" s="90"/>
      <c r="D43" s="90"/>
      <c r="E43" s="90"/>
      <c r="F43" s="90"/>
      <c r="G43" s="90"/>
      <c r="H43" s="90"/>
      <c r="I43" s="22"/>
    </row>
    <row r="44" spans="1:11" s="3" customFormat="1" ht="32.25" customHeight="1" x14ac:dyDescent="0.2">
      <c r="B44" s="22"/>
      <c r="C44" s="22"/>
      <c r="D44" s="50" t="s">
        <v>106</v>
      </c>
      <c r="E44" s="22"/>
      <c r="F44" s="22"/>
      <c r="G44" s="22"/>
      <c r="H44" s="22"/>
      <c r="I44" s="22"/>
    </row>
    <row r="45" spans="1:11" s="3" customFormat="1" ht="15" customHeight="1" x14ac:dyDescent="0.2">
      <c r="C45" s="49" t="s">
        <v>105</v>
      </c>
      <c r="D45" s="45">
        <f>60000/12</f>
        <v>5000</v>
      </c>
    </row>
    <row r="46" spans="1:11" s="3" customFormat="1" ht="15" customHeight="1" x14ac:dyDescent="0.2">
      <c r="C46" s="51"/>
      <c r="D46" s="52"/>
    </row>
    <row r="47" spans="1:11" s="3" customFormat="1" x14ac:dyDescent="0.2">
      <c r="A47" s="2" t="s">
        <v>31</v>
      </c>
      <c r="H47" s="56" t="s">
        <v>109</v>
      </c>
    </row>
    <row r="48" spans="1:11" s="3" customFormat="1" x14ac:dyDescent="0.2">
      <c r="B48" s="3" t="s">
        <v>41</v>
      </c>
      <c r="H48" s="47" t="s">
        <v>110</v>
      </c>
      <c r="I48" s="47"/>
      <c r="J48" s="56">
        <f>3*12</f>
        <v>36</v>
      </c>
      <c r="K48" s="47" t="s">
        <v>111</v>
      </c>
    </row>
    <row r="49" spans="1:12" s="3" customFormat="1" x14ac:dyDescent="0.2">
      <c r="B49" s="3" t="s">
        <v>42</v>
      </c>
      <c r="H49" s="47" t="s">
        <v>113</v>
      </c>
      <c r="I49" s="47"/>
      <c r="J49" s="69">
        <f>J48*2160</f>
        <v>77760</v>
      </c>
      <c r="K49" s="47" t="s">
        <v>112</v>
      </c>
    </row>
    <row r="50" spans="1:12" s="3" customFormat="1" x14ac:dyDescent="0.2">
      <c r="H50" s="47" t="s">
        <v>114</v>
      </c>
      <c r="I50" s="47"/>
      <c r="J50" s="69">
        <f>J49*6</f>
        <v>466560</v>
      </c>
      <c r="K50" s="47" t="s">
        <v>115</v>
      </c>
    </row>
    <row r="51" spans="1:12" s="3" customFormat="1" x14ac:dyDescent="0.2">
      <c r="A51" s="56" t="s">
        <v>166</v>
      </c>
      <c r="B51" s="56"/>
      <c r="C51" s="62" t="s">
        <v>103</v>
      </c>
      <c r="H51" s="47"/>
      <c r="I51" s="47"/>
      <c r="J51" s="47"/>
      <c r="K51" s="47"/>
    </row>
    <row r="52" spans="1:12" s="3" customFormat="1" x14ac:dyDescent="0.2">
      <c r="A52" s="56">
        <v>1</v>
      </c>
      <c r="B52" s="56" t="s">
        <v>101</v>
      </c>
      <c r="C52" s="61">
        <f>H32</f>
        <v>16994</v>
      </c>
      <c r="H52" s="56" t="s">
        <v>116</v>
      </c>
      <c r="I52" s="47"/>
      <c r="J52" s="47"/>
      <c r="K52" s="47"/>
      <c r="L52" s="47"/>
    </row>
    <row r="53" spans="1:12" s="3" customFormat="1" x14ac:dyDescent="0.2">
      <c r="A53" s="56">
        <v>2</v>
      </c>
      <c r="B53" s="56" t="s">
        <v>102</v>
      </c>
      <c r="C53" s="61">
        <f>D40</f>
        <v>58532.399999999994</v>
      </c>
      <c r="H53" s="47" t="s">
        <v>117</v>
      </c>
      <c r="I53" s="47"/>
      <c r="J53" s="47" t="s">
        <v>119</v>
      </c>
      <c r="K53" s="47">
        <f>45*30*15</f>
        <v>20250</v>
      </c>
      <c r="L53" s="47" t="s">
        <v>120</v>
      </c>
    </row>
    <row r="54" spans="1:12" s="3" customFormat="1" x14ac:dyDescent="0.2">
      <c r="A54" s="56">
        <v>3</v>
      </c>
      <c r="B54" s="56" t="s">
        <v>107</v>
      </c>
      <c r="C54" s="56">
        <f>D45</f>
        <v>5000</v>
      </c>
      <c r="H54" s="47" t="s">
        <v>118</v>
      </c>
      <c r="I54" s="47"/>
      <c r="J54" s="47" t="s">
        <v>119</v>
      </c>
      <c r="K54" s="47">
        <f>90*60*45</f>
        <v>243000</v>
      </c>
      <c r="L54" s="47" t="s">
        <v>120</v>
      </c>
    </row>
    <row r="55" spans="1:12" s="3" customFormat="1" x14ac:dyDescent="0.2">
      <c r="A55" s="56">
        <v>4</v>
      </c>
      <c r="B55" s="56" t="s">
        <v>131</v>
      </c>
      <c r="C55" s="61">
        <f>K66</f>
        <v>395759.51999999996</v>
      </c>
      <c r="H55" s="47"/>
      <c r="I55" s="47"/>
      <c r="J55" s="47"/>
      <c r="K55" s="47"/>
      <c r="L55" s="47"/>
    </row>
    <row r="56" spans="1:12" s="3" customFormat="1" x14ac:dyDescent="0.2">
      <c r="A56" s="56"/>
      <c r="B56" s="69" t="s">
        <v>132</v>
      </c>
      <c r="C56" s="70">
        <f>SUM(C52:C55)</f>
        <v>476285.91999999993</v>
      </c>
      <c r="D56" s="56" t="s">
        <v>135</v>
      </c>
      <c r="H56" s="56" t="s">
        <v>121</v>
      </c>
      <c r="I56" s="47"/>
      <c r="J56" s="47"/>
      <c r="K56" s="47"/>
      <c r="L56" s="47"/>
    </row>
    <row r="57" spans="1:12" s="3" customFormat="1" x14ac:dyDescent="0.2">
      <c r="A57" s="56">
        <v>5</v>
      </c>
      <c r="B57" s="56" t="s">
        <v>133</v>
      </c>
      <c r="C57" s="61">
        <f>C56*0.1</f>
        <v>47628.591999999997</v>
      </c>
      <c r="H57" s="47"/>
      <c r="I57" s="47"/>
      <c r="J57" s="48" t="s">
        <v>124</v>
      </c>
      <c r="K57" s="56">
        <f>K54/K53</f>
        <v>12</v>
      </c>
      <c r="L57" s="56" t="s">
        <v>122</v>
      </c>
    </row>
    <row r="58" spans="1:12" s="3" customFormat="1" x14ac:dyDescent="0.2">
      <c r="A58" s="56">
        <v>6</v>
      </c>
      <c r="B58" s="56" t="s">
        <v>134</v>
      </c>
      <c r="C58" s="61">
        <f>C56*0.06</f>
        <v>28577.155199999994</v>
      </c>
      <c r="H58" s="47"/>
      <c r="I58" s="47"/>
      <c r="J58" s="47"/>
      <c r="K58" s="47"/>
      <c r="L58" s="47"/>
    </row>
    <row r="59" spans="1:12" s="3" customFormat="1" x14ac:dyDescent="0.2">
      <c r="A59" s="66" t="s">
        <v>136</v>
      </c>
      <c r="B59" s="67"/>
      <c r="C59" s="68">
        <f>SUM(C56:C58)</f>
        <v>552491.66719999991</v>
      </c>
      <c r="D59" s="56" t="s">
        <v>142</v>
      </c>
      <c r="H59" s="56" t="s">
        <v>123</v>
      </c>
      <c r="I59" s="47"/>
      <c r="J59" s="47"/>
      <c r="K59" s="47"/>
      <c r="L59" s="47"/>
    </row>
    <row r="60" spans="1:12" s="3" customFormat="1" x14ac:dyDescent="0.2">
      <c r="H60" s="47" t="s">
        <v>125</v>
      </c>
      <c r="I60" s="47"/>
      <c r="J60" s="47"/>
      <c r="K60" s="56">
        <f>2160/12</f>
        <v>180</v>
      </c>
      <c r="L60" s="56" t="s">
        <v>126</v>
      </c>
    </row>
    <row r="61" spans="1:12" s="3" customFormat="1" x14ac:dyDescent="0.2">
      <c r="H61" s="47"/>
      <c r="I61" s="47"/>
      <c r="J61" s="47"/>
      <c r="K61" s="56">
        <f>K60/30</f>
        <v>6</v>
      </c>
      <c r="L61" s="56" t="s">
        <v>150</v>
      </c>
    </row>
    <row r="62" spans="1:12" s="3" customFormat="1" x14ac:dyDescent="0.2">
      <c r="H62" s="56" t="s">
        <v>108</v>
      </c>
      <c r="I62" s="47"/>
      <c r="J62" s="47"/>
      <c r="K62" s="47"/>
      <c r="L62" s="47"/>
    </row>
    <row r="63" spans="1:12" s="3" customFormat="1" x14ac:dyDescent="0.2">
      <c r="H63" s="47" t="s">
        <v>127</v>
      </c>
      <c r="I63" s="47"/>
      <c r="J63" s="47"/>
      <c r="K63" s="56">
        <f>90*60*45/6000</f>
        <v>40.5</v>
      </c>
      <c r="L63" s="56" t="s">
        <v>128</v>
      </c>
    </row>
    <row r="64" spans="1:12" s="3" customFormat="1" x14ac:dyDescent="0.2">
      <c r="H64" s="47" t="s">
        <v>168</v>
      </c>
      <c r="I64" s="47"/>
      <c r="J64" s="47"/>
      <c r="K64" s="69">
        <f>K63*7.8</f>
        <v>315.89999999999998</v>
      </c>
      <c r="L64" s="56" t="s">
        <v>158</v>
      </c>
    </row>
    <row r="65" spans="1:12" s="3" customFormat="1" x14ac:dyDescent="0.2">
      <c r="H65" s="47" t="s">
        <v>169</v>
      </c>
      <c r="I65" s="47"/>
      <c r="J65" s="47"/>
      <c r="K65" s="56">
        <f>K64*180</f>
        <v>56861.999999999993</v>
      </c>
      <c r="L65" s="56" t="s">
        <v>130</v>
      </c>
    </row>
    <row r="66" spans="1:12" s="3" customFormat="1" x14ac:dyDescent="0.2">
      <c r="H66" s="47"/>
      <c r="I66" s="47"/>
      <c r="J66" s="47"/>
      <c r="K66" s="57">
        <f>K65*6.96</f>
        <v>395759.51999999996</v>
      </c>
      <c r="L66" s="58" t="s">
        <v>103</v>
      </c>
    </row>
    <row r="67" spans="1:12" s="3" customFormat="1" x14ac:dyDescent="0.2">
      <c r="A67" s="2" t="s">
        <v>36</v>
      </c>
      <c r="K67" s="64">
        <f>K66/J49</f>
        <v>5.0894999999999992</v>
      </c>
      <c r="L67" s="58" t="s">
        <v>159</v>
      </c>
    </row>
    <row r="68" spans="1:12" s="3" customFormat="1" x14ac:dyDescent="0.2">
      <c r="A68" s="6" t="s">
        <v>33</v>
      </c>
      <c r="B68" s="3" t="s">
        <v>38</v>
      </c>
    </row>
    <row r="69" spans="1:12" s="3" customFormat="1" x14ac:dyDescent="0.2">
      <c r="A69" s="6"/>
    </row>
    <row r="70" spans="1:12" s="3" customFormat="1" x14ac:dyDescent="0.2">
      <c r="A70" s="6"/>
      <c r="B70" s="91" t="s">
        <v>170</v>
      </c>
      <c r="C70" s="91"/>
      <c r="D70" s="91"/>
      <c r="E70" s="92"/>
      <c r="F70" s="63">
        <f>C59/2160</f>
        <v>255.78317925925921</v>
      </c>
      <c r="G70" s="58" t="s">
        <v>137</v>
      </c>
      <c r="H70" s="56" t="s">
        <v>171</v>
      </c>
    </row>
    <row r="71" spans="1:12" s="3" customFormat="1" x14ac:dyDescent="0.2">
      <c r="A71" s="6"/>
    </row>
    <row r="72" spans="1:12" s="3" customFormat="1" x14ac:dyDescent="0.2">
      <c r="A72" s="6" t="s">
        <v>32</v>
      </c>
      <c r="B72" s="3" t="s">
        <v>44</v>
      </c>
    </row>
    <row r="73" spans="1:12" s="3" customFormat="1" x14ac:dyDescent="0.2">
      <c r="A73" s="6"/>
    </row>
    <row r="74" spans="1:12" s="3" customFormat="1" x14ac:dyDescent="0.2">
      <c r="A74" s="6"/>
      <c r="B74" s="73" t="s">
        <v>138</v>
      </c>
      <c r="C74" s="74">
        <f>F70/J48</f>
        <v>7.1050883127572</v>
      </c>
      <c r="D74" s="75" t="s">
        <v>139</v>
      </c>
    </row>
    <row r="75" spans="1:12" s="3" customFormat="1" x14ac:dyDescent="0.2">
      <c r="A75" s="6"/>
      <c r="C75" s="59"/>
    </row>
    <row r="76" spans="1:12" s="3" customFormat="1" x14ac:dyDescent="0.2">
      <c r="A76" s="6" t="s">
        <v>34</v>
      </c>
      <c r="B76" s="3" t="s">
        <v>39</v>
      </c>
    </row>
    <row r="77" spans="1:12" s="3" customFormat="1" x14ac:dyDescent="0.2">
      <c r="A77" s="6"/>
    </row>
    <row r="78" spans="1:12" s="3" customFormat="1" x14ac:dyDescent="0.2">
      <c r="A78" s="6"/>
      <c r="B78" s="73" t="s">
        <v>140</v>
      </c>
      <c r="C78" s="76">
        <f>C74*1.3</f>
        <v>9.2366148065843596</v>
      </c>
      <c r="D78" s="77" t="s">
        <v>139</v>
      </c>
    </row>
    <row r="79" spans="1:12" s="3" customFormat="1" x14ac:dyDescent="0.2">
      <c r="A79" s="6"/>
      <c r="B79" s="73" t="s">
        <v>140</v>
      </c>
      <c r="C79" s="76">
        <f>C78/6.96</f>
        <v>1.3270998285322355</v>
      </c>
      <c r="D79" s="77" t="s">
        <v>129</v>
      </c>
    </row>
    <row r="80" spans="1:12" s="3" customFormat="1" x14ac:dyDescent="0.2">
      <c r="A80" s="6"/>
      <c r="B80" s="73" t="s">
        <v>140</v>
      </c>
      <c r="C80" s="76">
        <f>C78/8.5</f>
        <v>1.0866605654805128</v>
      </c>
      <c r="D80" s="77" t="s">
        <v>141</v>
      </c>
      <c r="E80" s="2" t="s">
        <v>160</v>
      </c>
      <c r="F80" s="96" t="s">
        <v>173</v>
      </c>
      <c r="G80" s="96"/>
      <c r="H80" s="96"/>
    </row>
    <row r="81" spans="1:7" s="82" customFormat="1" x14ac:dyDescent="0.2">
      <c r="A81" s="78"/>
      <c r="B81" s="79"/>
      <c r="C81" s="80"/>
      <c r="D81" s="81"/>
    </row>
    <row r="82" spans="1:7" s="82" customFormat="1" x14ac:dyDescent="0.2">
      <c r="A82" s="78"/>
      <c r="B82" s="83" t="s">
        <v>151</v>
      </c>
      <c r="C82" s="80"/>
      <c r="D82" s="81"/>
    </row>
    <row r="83" spans="1:7" s="82" customFormat="1" x14ac:dyDescent="0.2">
      <c r="A83" s="78"/>
      <c r="B83" s="87" t="s">
        <v>152</v>
      </c>
      <c r="C83" s="84"/>
      <c r="D83" s="85"/>
      <c r="E83" s="86"/>
    </row>
    <row r="84" spans="1:7" s="82" customFormat="1" x14ac:dyDescent="0.2">
      <c r="A84" s="78"/>
      <c r="B84" s="87" t="s">
        <v>153</v>
      </c>
      <c r="C84" s="84"/>
      <c r="D84" s="85"/>
      <c r="E84" s="86"/>
    </row>
    <row r="85" spans="1:7" s="82" customFormat="1" x14ac:dyDescent="0.2">
      <c r="A85" s="78"/>
      <c r="B85" s="87" t="s">
        <v>154</v>
      </c>
      <c r="C85" s="84"/>
      <c r="D85" s="85"/>
      <c r="E85" s="86"/>
    </row>
    <row r="86" spans="1:7" s="3" customFormat="1" x14ac:dyDescent="0.2">
      <c r="A86" s="6"/>
      <c r="B86" s="71" t="s">
        <v>157</v>
      </c>
      <c r="C86" s="59"/>
    </row>
    <row r="87" spans="1:7" s="3" customFormat="1" x14ac:dyDescent="0.2">
      <c r="A87" s="6"/>
      <c r="B87" s="72" t="s">
        <v>155</v>
      </c>
      <c r="C87" s="59"/>
    </row>
    <row r="88" spans="1:7" s="3" customFormat="1" x14ac:dyDescent="0.2">
      <c r="A88" s="6"/>
      <c r="B88" s="71" t="s">
        <v>174</v>
      </c>
      <c r="C88" s="59"/>
    </row>
    <row r="89" spans="1:7" s="3" customFormat="1" x14ac:dyDescent="0.2">
      <c r="A89" s="6" t="s">
        <v>43</v>
      </c>
      <c r="B89" s="3" t="s">
        <v>45</v>
      </c>
    </row>
    <row r="90" spans="1:7" s="3" customFormat="1" x14ac:dyDescent="0.2">
      <c r="A90" s="6"/>
    </row>
    <row r="91" spans="1:7" s="3" customFormat="1" x14ac:dyDescent="0.2">
      <c r="A91" s="6"/>
      <c r="B91" s="47" t="s">
        <v>176</v>
      </c>
      <c r="C91" s="47"/>
      <c r="D91" s="47"/>
      <c r="E91" s="47"/>
    </row>
    <row r="92" spans="1:7" s="3" customFormat="1" x14ac:dyDescent="0.2">
      <c r="A92" s="6"/>
      <c r="B92" s="65" t="s">
        <v>143</v>
      </c>
      <c r="C92" s="60">
        <f>C78*J49</f>
        <v>718239.16735999985</v>
      </c>
      <c r="D92" s="56" t="s">
        <v>137</v>
      </c>
      <c r="E92" s="47"/>
    </row>
    <row r="93" spans="1:7" s="3" customFormat="1" x14ac:dyDescent="0.2">
      <c r="A93" s="6"/>
      <c r="B93" s="71" t="s">
        <v>144</v>
      </c>
    </row>
    <row r="94" spans="1:7" s="3" customFormat="1" x14ac:dyDescent="0.2">
      <c r="A94" s="6"/>
      <c r="B94" s="65" t="s">
        <v>145</v>
      </c>
      <c r="C94" s="61">
        <f>C56</f>
        <v>476285.91999999993</v>
      </c>
      <c r="D94" s="56" t="s">
        <v>137</v>
      </c>
    </row>
    <row r="95" spans="1:7" s="3" customFormat="1" x14ac:dyDescent="0.2">
      <c r="A95" s="48"/>
      <c r="B95" s="65"/>
      <c r="C95" s="61"/>
      <c r="D95" s="47"/>
      <c r="E95" s="47"/>
      <c r="F95" s="47"/>
      <c r="G95" s="47"/>
    </row>
    <row r="96" spans="1:7" s="3" customFormat="1" x14ac:dyDescent="0.2">
      <c r="A96" s="48"/>
      <c r="B96" s="71" t="s">
        <v>146</v>
      </c>
      <c r="C96" s="61"/>
      <c r="D96" s="47"/>
      <c r="E96" s="47"/>
      <c r="F96" s="47"/>
      <c r="G96" s="47"/>
    </row>
    <row r="97" spans="1:7" s="3" customFormat="1" x14ac:dyDescent="0.2">
      <c r="A97" s="48"/>
      <c r="B97" s="65" t="s">
        <v>147</v>
      </c>
      <c r="C97" s="61">
        <f>C92-C94</f>
        <v>241953.24735999992</v>
      </c>
      <c r="D97" s="56" t="s">
        <v>139</v>
      </c>
      <c r="E97" s="56" t="s">
        <v>148</v>
      </c>
      <c r="F97" s="56">
        <f>C97/C94*100</f>
        <v>50.79999999999999</v>
      </c>
      <c r="G97" s="56" t="s">
        <v>149</v>
      </c>
    </row>
    <row r="98" spans="1:7" s="3" customFormat="1" x14ac:dyDescent="0.2">
      <c r="A98" s="48"/>
      <c r="B98" s="47"/>
      <c r="C98" s="47"/>
      <c r="D98" s="47"/>
      <c r="E98" s="47"/>
      <c r="F98" s="56" t="s">
        <v>177</v>
      </c>
      <c r="G98" s="47"/>
    </row>
    <row r="99" spans="1:7" s="3" customFormat="1" x14ac:dyDescent="0.2"/>
    <row r="100" spans="1:7" s="3" customFormat="1" x14ac:dyDescent="0.2">
      <c r="A100" s="2" t="s">
        <v>175</v>
      </c>
    </row>
    <row r="101" spans="1:7" s="3" customFormat="1" x14ac:dyDescent="0.2"/>
    <row r="102" spans="1:7" s="3" customFormat="1" x14ac:dyDescent="0.2"/>
  </sheetData>
  <mergeCells count="7">
    <mergeCell ref="B43:H43"/>
    <mergeCell ref="B70:E70"/>
    <mergeCell ref="A4:H4"/>
    <mergeCell ref="A11:H11"/>
    <mergeCell ref="A17:H17"/>
    <mergeCell ref="A7:H7"/>
    <mergeCell ref="F32:G32"/>
  </mergeCells>
  <phoneticPr fontId="0" type="noConversion"/>
  <pageMargins left="0.43307086614173229" right="0.39370078740157483" top="0.31496062992125984" bottom="0.43307086614173229" header="0.27559055118110237"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K20" sqref="K20"/>
    </sheetView>
  </sheetViews>
  <sheetFormatPr baseColWidth="10" defaultRowHeight="12.75" x14ac:dyDescent="0.2"/>
  <cols>
    <col min="2" max="2" width="5.140625" bestFit="1" customWidth="1"/>
    <col min="3" max="3" width="29.42578125" customWidth="1"/>
    <col min="4" max="4" width="8.7109375" customWidth="1"/>
    <col min="5" max="5" width="7.85546875" customWidth="1"/>
    <col min="6" max="6" width="7.42578125" customWidth="1"/>
    <col min="7" max="7" width="13.5703125" customWidth="1"/>
  </cols>
  <sheetData>
    <row r="1" spans="1:8" x14ac:dyDescent="0.2">
      <c r="A1" s="95" t="s">
        <v>93</v>
      </c>
      <c r="B1" s="95"/>
      <c r="C1" s="95"/>
      <c r="D1" s="95"/>
      <c r="E1" s="95"/>
      <c r="F1" s="95"/>
      <c r="G1" s="95"/>
      <c r="H1" s="95"/>
    </row>
    <row r="2" spans="1:8" x14ac:dyDescent="0.2">
      <c r="A2" s="37" t="s">
        <v>94</v>
      </c>
    </row>
    <row r="4" spans="1:8" ht="13.5" thickBot="1" x14ac:dyDescent="0.25">
      <c r="A4" t="s">
        <v>80</v>
      </c>
    </row>
    <row r="5" spans="1:8" s="23" customFormat="1" ht="39" thickBot="1" x14ac:dyDescent="0.25">
      <c r="B5" s="26" t="s">
        <v>47</v>
      </c>
      <c r="C5" s="27" t="s">
        <v>48</v>
      </c>
      <c r="D5" s="28" t="s">
        <v>49</v>
      </c>
      <c r="E5" s="28" t="s">
        <v>50</v>
      </c>
      <c r="F5" s="28" t="s">
        <v>76</v>
      </c>
      <c r="G5" s="29" t="s">
        <v>77</v>
      </c>
    </row>
    <row r="6" spans="1:8" x14ac:dyDescent="0.2">
      <c r="B6" s="25">
        <v>1</v>
      </c>
      <c r="C6" s="25" t="s">
        <v>51</v>
      </c>
      <c r="D6" s="25">
        <v>5</v>
      </c>
      <c r="E6" s="25">
        <v>2</v>
      </c>
      <c r="F6" s="25"/>
      <c r="G6" s="25"/>
    </row>
    <row r="7" spans="1:8" x14ac:dyDescent="0.2">
      <c r="B7" s="24">
        <v>2</v>
      </c>
      <c r="C7" s="24" t="s">
        <v>52</v>
      </c>
      <c r="D7" s="24">
        <v>0.25</v>
      </c>
      <c r="E7" s="24">
        <v>0.3</v>
      </c>
      <c r="F7" s="24"/>
      <c r="G7" s="24"/>
    </row>
    <row r="8" spans="1:8" x14ac:dyDescent="0.2">
      <c r="B8" s="24">
        <v>3</v>
      </c>
      <c r="C8" s="24" t="s">
        <v>53</v>
      </c>
      <c r="D8" s="24">
        <v>4</v>
      </c>
      <c r="E8" s="24">
        <v>6</v>
      </c>
      <c r="F8" s="24"/>
      <c r="G8" s="24"/>
    </row>
    <row r="9" spans="1:8" x14ac:dyDescent="0.2">
      <c r="B9" s="24">
        <v>4</v>
      </c>
      <c r="C9" s="24" t="s">
        <v>55</v>
      </c>
      <c r="D9" s="24">
        <v>3</v>
      </c>
      <c r="E9" s="24">
        <v>1.5</v>
      </c>
      <c r="F9" s="24"/>
      <c r="G9" s="24"/>
    </row>
    <row r="10" spans="1:8" x14ac:dyDescent="0.2">
      <c r="B10" s="24">
        <v>5</v>
      </c>
      <c r="C10" s="24" t="s">
        <v>54</v>
      </c>
      <c r="D10" s="24">
        <v>3</v>
      </c>
      <c r="E10" s="24">
        <v>5</v>
      </c>
      <c r="F10" s="24"/>
      <c r="G10" s="24"/>
    </row>
    <row r="11" spans="1:8" x14ac:dyDescent="0.2">
      <c r="B11" s="24">
        <v>6</v>
      </c>
      <c r="C11" s="24" t="s">
        <v>56</v>
      </c>
      <c r="D11" s="24">
        <v>5</v>
      </c>
      <c r="E11" s="24">
        <v>5</v>
      </c>
      <c r="F11" s="24"/>
      <c r="G11" s="24"/>
    </row>
    <row r="12" spans="1:8" x14ac:dyDescent="0.2">
      <c r="B12" s="24">
        <v>7</v>
      </c>
      <c r="C12" s="24" t="s">
        <v>72</v>
      </c>
      <c r="D12" s="24">
        <v>2</v>
      </c>
      <c r="E12" s="24">
        <v>1.2</v>
      </c>
      <c r="F12" s="24"/>
      <c r="G12" s="24"/>
    </row>
    <row r="13" spans="1:8" x14ac:dyDescent="0.2">
      <c r="B13" s="24">
        <v>8</v>
      </c>
      <c r="C13" s="24" t="s">
        <v>57</v>
      </c>
      <c r="D13" s="24">
        <v>6</v>
      </c>
      <c r="E13" s="24">
        <v>9</v>
      </c>
      <c r="F13" s="24"/>
      <c r="G13" s="24"/>
    </row>
    <row r="14" spans="1:8" x14ac:dyDescent="0.2">
      <c r="B14" s="24">
        <v>9</v>
      </c>
      <c r="C14" s="24" t="s">
        <v>58</v>
      </c>
      <c r="D14" s="24">
        <v>0.45</v>
      </c>
      <c r="E14" s="24">
        <v>0.3</v>
      </c>
      <c r="F14" s="24"/>
      <c r="G14" s="24"/>
    </row>
    <row r="15" spans="1:8" x14ac:dyDescent="0.2">
      <c r="B15" s="24">
        <v>10</v>
      </c>
      <c r="C15" s="24" t="s">
        <v>59</v>
      </c>
      <c r="D15" s="24">
        <v>0.5</v>
      </c>
      <c r="E15" s="24">
        <v>1</v>
      </c>
      <c r="F15" s="24"/>
      <c r="G15" s="24"/>
    </row>
    <row r="16" spans="1:8" x14ac:dyDescent="0.2">
      <c r="B16" s="24">
        <v>11</v>
      </c>
      <c r="C16" s="24" t="s">
        <v>74</v>
      </c>
      <c r="D16" s="24">
        <v>3</v>
      </c>
      <c r="E16" s="24">
        <v>6</v>
      </c>
      <c r="F16" s="24"/>
      <c r="G16" s="24"/>
    </row>
    <row r="17" spans="2:7" x14ac:dyDescent="0.2">
      <c r="B17" s="24">
        <v>12</v>
      </c>
      <c r="C17" s="24" t="s">
        <v>60</v>
      </c>
      <c r="D17" s="24">
        <v>1</v>
      </c>
      <c r="E17" s="24">
        <v>0.6</v>
      </c>
      <c r="F17" s="24"/>
      <c r="G17" s="24"/>
    </row>
    <row r="18" spans="2:7" x14ac:dyDescent="0.2">
      <c r="B18" s="24">
        <v>13</v>
      </c>
      <c r="C18" s="24" t="s">
        <v>75</v>
      </c>
      <c r="D18" s="24">
        <v>2.5</v>
      </c>
      <c r="E18" s="24">
        <v>5</v>
      </c>
      <c r="F18" s="24"/>
      <c r="G18" s="24"/>
    </row>
    <row r="19" spans="2:7" x14ac:dyDescent="0.2">
      <c r="B19" s="24">
        <v>14</v>
      </c>
      <c r="C19" s="24" t="s">
        <v>61</v>
      </c>
      <c r="D19" s="24">
        <v>2</v>
      </c>
      <c r="E19" s="24">
        <v>2.5</v>
      </c>
      <c r="F19" s="24"/>
      <c r="G19" s="24"/>
    </row>
    <row r="20" spans="2:7" x14ac:dyDescent="0.2">
      <c r="B20" s="24">
        <v>15</v>
      </c>
      <c r="C20" s="24" t="s">
        <v>62</v>
      </c>
      <c r="D20" s="24">
        <v>1.5</v>
      </c>
      <c r="E20" s="24">
        <v>1.4</v>
      </c>
      <c r="F20" s="24"/>
      <c r="G20" s="24"/>
    </row>
    <row r="21" spans="2:7" x14ac:dyDescent="0.2">
      <c r="B21" s="24">
        <v>16</v>
      </c>
      <c r="C21" s="24" t="s">
        <v>63</v>
      </c>
      <c r="D21" s="24">
        <v>2</v>
      </c>
      <c r="E21" s="24">
        <v>5</v>
      </c>
      <c r="F21" s="24"/>
      <c r="G21" s="24"/>
    </row>
    <row r="22" spans="2:7" x14ac:dyDescent="0.2">
      <c r="B22" s="24">
        <v>17</v>
      </c>
      <c r="C22" s="24" t="s">
        <v>64</v>
      </c>
      <c r="D22" s="24">
        <v>3.6</v>
      </c>
      <c r="E22" s="24">
        <v>6</v>
      </c>
      <c r="F22" s="24"/>
      <c r="G22" s="24"/>
    </row>
    <row r="23" spans="2:7" x14ac:dyDescent="0.2">
      <c r="B23" s="24">
        <v>18</v>
      </c>
      <c r="C23" s="24" t="s">
        <v>65</v>
      </c>
      <c r="D23" s="24">
        <v>4.5</v>
      </c>
      <c r="E23" s="24">
        <v>5</v>
      </c>
      <c r="F23" s="24"/>
      <c r="G23" s="24"/>
    </row>
    <row r="24" spans="2:7" x14ac:dyDescent="0.2">
      <c r="B24" s="24">
        <v>19</v>
      </c>
      <c r="C24" s="24" t="s">
        <v>66</v>
      </c>
      <c r="D24" s="24">
        <v>3</v>
      </c>
      <c r="E24" s="24">
        <v>5</v>
      </c>
      <c r="F24" s="24"/>
      <c r="G24" s="24"/>
    </row>
    <row r="25" spans="2:7" x14ac:dyDescent="0.2">
      <c r="B25" s="24">
        <v>20</v>
      </c>
      <c r="C25" s="24" t="s">
        <v>73</v>
      </c>
      <c r="D25" s="24">
        <v>3</v>
      </c>
      <c r="E25" s="24">
        <v>2</v>
      </c>
      <c r="F25" s="24"/>
      <c r="G25" s="24"/>
    </row>
    <row r="26" spans="2:7" x14ac:dyDescent="0.2">
      <c r="B26" s="24">
        <v>21</v>
      </c>
      <c r="C26" s="24" t="s">
        <v>67</v>
      </c>
      <c r="D26" s="24">
        <v>2</v>
      </c>
      <c r="E26" s="24">
        <v>6</v>
      </c>
      <c r="F26" s="24"/>
      <c r="G26" s="24"/>
    </row>
    <row r="27" spans="2:7" x14ac:dyDescent="0.2">
      <c r="B27" s="24">
        <v>22</v>
      </c>
      <c r="C27" s="24" t="s">
        <v>68</v>
      </c>
      <c r="D27" s="24">
        <v>9</v>
      </c>
      <c r="E27" s="24">
        <v>10</v>
      </c>
      <c r="F27" s="24"/>
      <c r="G27" s="24"/>
    </row>
    <row r="28" spans="2:7" x14ac:dyDescent="0.2">
      <c r="B28" s="24">
        <v>23</v>
      </c>
      <c r="C28" s="24" t="s">
        <v>69</v>
      </c>
      <c r="D28" s="24">
        <v>2</v>
      </c>
      <c r="E28" s="24">
        <v>1</v>
      </c>
      <c r="F28" s="24"/>
      <c r="G28" s="24"/>
    </row>
    <row r="29" spans="2:7" x14ac:dyDescent="0.2">
      <c r="B29" s="24">
        <v>24</v>
      </c>
      <c r="C29" s="24" t="s">
        <v>70</v>
      </c>
      <c r="D29" s="24">
        <v>0.8</v>
      </c>
      <c r="E29" s="24">
        <v>0.5</v>
      </c>
      <c r="F29" s="24"/>
      <c r="G29" s="24"/>
    </row>
    <row r="30" spans="2:7" ht="13.5" thickBot="1" x14ac:dyDescent="0.25">
      <c r="B30" s="24">
        <v>25</v>
      </c>
      <c r="C30" s="30" t="s">
        <v>71</v>
      </c>
      <c r="D30" s="30">
        <v>2.5</v>
      </c>
      <c r="E30" s="30">
        <v>2</v>
      </c>
      <c r="F30" s="24"/>
      <c r="G30" s="24"/>
    </row>
    <row r="31" spans="2:7" x14ac:dyDescent="0.2">
      <c r="C31" s="35" t="s">
        <v>78</v>
      </c>
      <c r="D31" s="33">
        <f>SUM(D6:D30)</f>
        <v>71.600000000000009</v>
      </c>
      <c r="E31" s="31">
        <f>SUM(E6:E30)</f>
        <v>89.3</v>
      </c>
    </row>
    <row r="32" spans="2:7" ht="13.5" thickBot="1" x14ac:dyDescent="0.25">
      <c r="C32" s="36" t="s">
        <v>79</v>
      </c>
      <c r="D32" s="34">
        <f>D31/24</f>
        <v>2.9833333333333338</v>
      </c>
      <c r="E32" s="32">
        <f>E31/24</f>
        <v>3.7208333333333332</v>
      </c>
    </row>
    <row r="34" spans="1:1" x14ac:dyDescent="0.2">
      <c r="A34" t="s">
        <v>89</v>
      </c>
    </row>
    <row r="35" spans="1:1" x14ac:dyDescent="0.2">
      <c r="A35" t="s">
        <v>81</v>
      </c>
    </row>
    <row r="36" spans="1:1" x14ac:dyDescent="0.2">
      <c r="A36" t="s">
        <v>91</v>
      </c>
    </row>
    <row r="37" spans="1:1" x14ac:dyDescent="0.2">
      <c r="A37" t="s">
        <v>82</v>
      </c>
    </row>
    <row r="38" spans="1:1" x14ac:dyDescent="0.2">
      <c r="A38" t="s">
        <v>83</v>
      </c>
    </row>
    <row r="39" spans="1:1" x14ac:dyDescent="0.2">
      <c r="A39" t="s">
        <v>90</v>
      </c>
    </row>
    <row r="41" spans="1:1" x14ac:dyDescent="0.2">
      <c r="A41" s="37" t="s">
        <v>92</v>
      </c>
    </row>
    <row r="42" spans="1:1" x14ac:dyDescent="0.2">
      <c r="A42" t="s">
        <v>84</v>
      </c>
    </row>
    <row r="43" spans="1:1" x14ac:dyDescent="0.2">
      <c r="A43" t="s">
        <v>85</v>
      </c>
    </row>
    <row r="44" spans="1:1" x14ac:dyDescent="0.2">
      <c r="A44" t="s">
        <v>86</v>
      </c>
    </row>
    <row r="45" spans="1:1" x14ac:dyDescent="0.2">
      <c r="A45" t="s">
        <v>87</v>
      </c>
    </row>
    <row r="46" spans="1:1" x14ac:dyDescent="0.2">
      <c r="A46" t="s">
        <v>95</v>
      </c>
    </row>
    <row r="47" spans="1:1" x14ac:dyDescent="0.2">
      <c r="A47" t="s">
        <v>88</v>
      </c>
    </row>
  </sheetData>
  <mergeCells count="1">
    <mergeCell ref="A1:H1"/>
  </mergeCells>
  <phoneticPr fontId="0" type="noConversion"/>
  <pageMargins left="0.53" right="0.75" top="0.35"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HOME</cp:lastModifiedBy>
  <cp:lastPrinted>2018-10-23T15:02:24Z</cp:lastPrinted>
  <dcterms:created xsi:type="dcterms:W3CDTF">2012-11-30T18:27:57Z</dcterms:created>
  <dcterms:modified xsi:type="dcterms:W3CDTF">2019-11-29T01:51:41Z</dcterms:modified>
</cp:coreProperties>
</file>