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mc:AlternateContent xmlns:mc="http://schemas.openxmlformats.org/markup-compatibility/2006">
    <mc:Choice Requires="x15">
      <x15ac:absPath xmlns:x15ac="http://schemas.microsoft.com/office/spreadsheetml/2010/11/ac" url="D:\DOCENCIA\DIRECC_SISTEMAS\G_2016\"/>
    </mc:Choice>
  </mc:AlternateContent>
  <bookViews>
    <workbookView xWindow="120" yWindow="105" windowWidth="15180" windowHeight="8835"/>
  </bookViews>
  <sheets>
    <sheet name="Hoja1" sheetId="1" r:id="rId1"/>
    <sheet name="Hoja2" sheetId="2" r:id="rId2"/>
    <sheet name="Hoja3" sheetId="3" r:id="rId3"/>
  </sheets>
  <calcPr calcId="162913"/>
</workbook>
</file>

<file path=xl/calcChain.xml><?xml version="1.0" encoding="utf-8"?>
<calcChain xmlns="http://schemas.openxmlformats.org/spreadsheetml/2006/main">
  <c r="D68" i="1" l="1"/>
  <c r="D67" i="1"/>
  <c r="D66" i="1"/>
  <c r="D65" i="1"/>
  <c r="D136" i="1"/>
  <c r="K92" i="1"/>
  <c r="K93" i="1" s="1"/>
  <c r="K89" i="1"/>
  <c r="K90" i="1" s="1"/>
  <c r="K83" i="1"/>
  <c r="K82" i="1"/>
  <c r="J77" i="1"/>
  <c r="J78" i="1" s="1"/>
  <c r="J79" i="1" s="1"/>
  <c r="D74" i="1"/>
  <c r="C83" i="1" s="1"/>
  <c r="F56" i="1"/>
  <c r="G56" i="1" s="1"/>
  <c r="H56" i="1" s="1"/>
  <c r="F57" i="1"/>
  <c r="G57" i="1" s="1"/>
  <c r="H57" i="1" s="1"/>
  <c r="F58" i="1"/>
  <c r="G58" i="1" s="1"/>
  <c r="H58" i="1" s="1"/>
  <c r="F59" i="1"/>
  <c r="G59" i="1" s="1"/>
  <c r="H59" i="1" s="1"/>
  <c r="F60" i="1"/>
  <c r="G60" i="1" s="1"/>
  <c r="H60" i="1" s="1"/>
  <c r="F55" i="1"/>
  <c r="G55" i="1" s="1"/>
  <c r="H55" i="1" s="1"/>
  <c r="D135" i="1" l="1"/>
  <c r="K94" i="1"/>
  <c r="K95" i="1" s="1"/>
  <c r="K86" i="1"/>
  <c r="D69" i="1"/>
  <c r="C82" i="1" s="1"/>
  <c r="H61" i="1"/>
  <c r="C81" i="1" s="1"/>
  <c r="D31" i="2"/>
  <c r="D32" i="2" s="1"/>
  <c r="E31" i="2"/>
  <c r="E32" i="2" s="1"/>
  <c r="C84" i="1" l="1"/>
  <c r="C85" i="1" s="1"/>
  <c r="C123" i="1" s="1"/>
  <c r="K96" i="1"/>
  <c r="C86" i="1" l="1"/>
  <c r="C87" i="1"/>
  <c r="C88" i="1" l="1"/>
  <c r="F99" i="1" l="1"/>
  <c r="C103" i="1" s="1"/>
  <c r="C107" i="1" l="1"/>
  <c r="C109" i="1" s="1"/>
  <c r="D133" i="1"/>
  <c r="D138" i="1" s="1"/>
  <c r="C121" i="1" l="1"/>
  <c r="C126" i="1" s="1"/>
  <c r="F126" i="1" s="1"/>
  <c r="C108" i="1"/>
</calcChain>
</file>

<file path=xl/sharedStrings.xml><?xml version="1.0" encoding="utf-8"?>
<sst xmlns="http://schemas.openxmlformats.org/spreadsheetml/2006/main" count="197" uniqueCount="186">
  <si>
    <t xml:space="preserve"> - Entrega en el aeropuerto de Munich en Alemania </t>
  </si>
  <si>
    <t>Se ha consolidado la apertura de un mercado importante para la producción de rosas (flores) para el mercado europeo. Los productores en la localidad de Tiquipaya, Cochabamba pactan las siguientes condiciones de satisfacción para el negocio:</t>
  </si>
  <si>
    <t xml:space="preserve"> - Cada gruesa se empaca en una caja de cartón de: Largo = 45 cm; Ancho = 30 cm y Alto = 15 cm. </t>
  </si>
  <si>
    <t xml:space="preserve"> - La fórmula que se aplica para el costo del transporte aéreo desde Cbba. hasta Munich es:</t>
  </si>
  <si>
    <t>(medidas del contenedor en cm)/6000 = Kg.</t>
  </si>
  <si>
    <t>El precio de transporte por cada KG = 7 US$/kg.</t>
  </si>
  <si>
    <t xml:space="preserve"> - Hay vuelos diarios entre Sao Paulo - Munich por Lufthansa a hrs. 22,00 </t>
  </si>
  <si>
    <t>COSTOS:</t>
  </si>
  <si>
    <t>item</t>
  </si>
  <si>
    <t>vida útil (años)</t>
  </si>
  <si>
    <t>depreciación anual US$</t>
  </si>
  <si>
    <t xml:space="preserve">detalle </t>
  </si>
  <si>
    <t>costo US$</t>
  </si>
  <si>
    <t xml:space="preserve"> - Se firma un acuerdo comercial para la provisión de rosas por tres años que es IGUAL A LA VIDA ÚTIL POR LA INVERSIÓN.</t>
  </si>
  <si>
    <t>valor residual us$</t>
  </si>
  <si>
    <t>valor de reposición US$</t>
  </si>
  <si>
    <t>depreciación mensual Bs. (Tc 6,96)</t>
  </si>
  <si>
    <t>Viveros y carpas solares</t>
  </si>
  <si>
    <t>Laboratorio de control cal.</t>
  </si>
  <si>
    <t>Investigación e inseminación</t>
  </si>
  <si>
    <t>Equipos de riego</t>
  </si>
  <si>
    <t>Software; PCs; Oficinas</t>
  </si>
  <si>
    <t>Camioneta</t>
  </si>
  <si>
    <t>detalle</t>
  </si>
  <si>
    <t>Contratación de 10 operarios con sueldo 1800 Bs/mes</t>
  </si>
  <si>
    <t>costo total Bs/mes</t>
  </si>
  <si>
    <t>Costo empresa Bs/mes</t>
  </si>
  <si>
    <t>1 Ingeniero Agrónomo c/experiencia</t>
  </si>
  <si>
    <t>1 Ingeniero comercial Jr.</t>
  </si>
  <si>
    <t>2 Personal administrativo sueldo 2500 Bs/mes</t>
  </si>
  <si>
    <t xml:space="preserve">3.- GASTOS DE PRODUCCIÓN: </t>
  </si>
  <si>
    <t>Los gastos de producción que toma en cuenta: semillas; riego; servicios básicos como agua, luz, comunicación, combustibles etc. globaliza un MONTO MENSUAL  = 60.000 Bs/mes.</t>
  </si>
  <si>
    <r>
      <t xml:space="preserve">2.- GASTOS OPERATIVOS: </t>
    </r>
    <r>
      <rPr>
        <sz val="10"/>
        <rFont val="Arial Narrow"/>
        <family val="2"/>
      </rPr>
      <t>Para implementar este proyecto se requiere de los siguientes gastos adicionales:</t>
    </r>
  </si>
  <si>
    <r>
      <t>1.- INVERSIONES:</t>
    </r>
    <r>
      <rPr>
        <sz val="10"/>
        <rFont val="Arial Narrow"/>
        <family val="2"/>
      </rPr>
      <t xml:space="preserve"> Para atender SOLAMENTE ESTE CONTRATO se efectúan las siguientes inversiones:</t>
    </r>
  </si>
  <si>
    <t>4.- GASTOS ADMINISTRATIVOS Y TASAS:</t>
  </si>
  <si>
    <t>2.-</t>
  </si>
  <si>
    <t>1.-</t>
  </si>
  <si>
    <t>3.-</t>
  </si>
  <si>
    <t>PREGUNTAS PARTE A:</t>
  </si>
  <si>
    <t>PREGUNTAS PARTE B:</t>
  </si>
  <si>
    <t xml:space="preserve"> - La cantidad mensual que deben atender es de 2160 gruesas de flores: la gruesa contiene 3 docenas de rosas. Y solo se envían 6 meses de Nov. A Abril</t>
  </si>
  <si>
    <t>1.- Elabore el flujo aproximado de los procesos desde la cosecha hasta la entrega en el aeropuerto de Munich. Cuantas horas en total?. (10 PUNTOS)</t>
  </si>
  <si>
    <t>Cuál es el COSTO DE PRODUCCION DE UNA GRUESA PUESTO EN AEROPUERTO DE MUNICH - ALEMANIA?. (15 PUNTOS)</t>
  </si>
  <si>
    <t>Si mi utilidad asumo en un 30%, cuál será el precio de venta en el mercado europeo? (sin considerar los costos de diStribución). (10 PUNTOS)</t>
  </si>
  <si>
    <t xml:space="preserve"> - Asuma con aproximación los tiempos de demora en todo el proceso, desde la poda, selección, clasificación control de calidad, documentos  empaque en el contenedor refrigerado, transporte etc.</t>
  </si>
  <si>
    <t xml:space="preserve"> - Los gastos administrativos se consolidan en un 10% del gasto mensual (suma de ítems 1+2+3+costo transporte))</t>
  </si>
  <si>
    <t xml:space="preserve"> - Los gastos por tasas e impuestos globalizan un 6% del gasto mensual (suma de ítems 1+2+3+4+costo transporte)</t>
  </si>
  <si>
    <t>4.-</t>
  </si>
  <si>
    <t>Cuál es el costo de producción de 1 rosa en el aeropuerto de Munich?. (10 PUNTOS)</t>
  </si>
  <si>
    <t>2.- Elabore el Flujograma para todo el proceso. (10 PUNTOS)</t>
  </si>
  <si>
    <t>4.- Cuantos contenedores se debe enviar diariamente y cual es la cantidad de rosas a cosechar los 6 meses?. (10 PUNTOS)</t>
  </si>
  <si>
    <t>3.- De la pregunta 2 identifique los procesos vitales, sabiendo que la variable crítica es el tiempo. (10 PUNTOS)</t>
  </si>
  <si>
    <t>Cual es la Utlidad o margen operativo mensual? (Precio de venta con utilidad - Gastos totales) (15 PUNTOS)</t>
  </si>
  <si>
    <t xml:space="preserve"> - Tiempos de transporte vía aérea: Cbba-Sta. Cruz = 1Hora; Sta. Cruz - Sao Paulo = 4 Horas, Sao Paulo - Munich = 12 Horas. </t>
  </si>
  <si>
    <t xml:space="preserve">nro. </t>
  </si>
  <si>
    <t>proceso</t>
  </si>
  <si>
    <t>tiempo planif. (hrs.)</t>
  </si>
  <si>
    <t>tiempo real (hrs.)</t>
  </si>
  <si>
    <t>poda de las flores</t>
  </si>
  <si>
    <t>transporte al almacén</t>
  </si>
  <si>
    <t>almacenaje</t>
  </si>
  <si>
    <t>selección de tamaños</t>
  </si>
  <si>
    <t>deshojado</t>
  </si>
  <si>
    <t>control de calidad</t>
  </si>
  <si>
    <t>empaque</t>
  </si>
  <si>
    <t>sello al vacío</t>
  </si>
  <si>
    <t>etiquetado</t>
  </si>
  <si>
    <t>Transp. Vivero - aerop. Cbba.</t>
  </si>
  <si>
    <t>acomodación en contenedores</t>
  </si>
  <si>
    <t>transp. Cbba. -sta. Cruz</t>
  </si>
  <si>
    <t>transbordo carga en sta. Cruz</t>
  </si>
  <si>
    <t>documentos aduana, tif/fta,sensag</t>
  </si>
  <si>
    <t>transp. Sta cruz - sao paulo</t>
  </si>
  <si>
    <t>transbordo carga en sao paulo</t>
  </si>
  <si>
    <t>documentos de exportación</t>
  </si>
  <si>
    <t>transporte sao paulo - munich</t>
  </si>
  <si>
    <t>descarga en aerop. Munich</t>
  </si>
  <si>
    <t>entrega en bodegas de aduana</t>
  </si>
  <si>
    <t>entrega al cliente.</t>
  </si>
  <si>
    <t>armado de las gruesas</t>
  </si>
  <si>
    <t>control fitosanitario en SP</t>
  </si>
  <si>
    <t>control de todos los documentos</t>
  </si>
  <si>
    <t>control de documentos en aerop.</t>
  </si>
  <si>
    <t>dif. Real - planif.</t>
  </si>
  <si>
    <t>Obsrervac.</t>
  </si>
  <si>
    <t>tiempo total en hrs.</t>
  </si>
  <si>
    <t>tiempo en días</t>
  </si>
  <si>
    <t>En la exportación de flores se ha controlado los tiempos planificados y reales y se ha obtenido el siguiente cuadro:</t>
  </si>
  <si>
    <t>2.- Analice con la espina de pez cualquiera de las causas vitales que sean controlables; y elabore la matríz imple-</t>
  </si>
  <si>
    <t xml:space="preserve">3.- Si se producen en total 3.600.000 flores, y el costo de la primera docena en el vivero ha sido de Bs. 9,6; deter- </t>
  </si>
  <si>
    <t xml:space="preserve">mine el costo de la la última docena si el coef. de conocimiento y experiencia es del 92%?.  B) qué porcentaje ha </t>
  </si>
  <si>
    <t>1.- Qué es un sistema?, con este concepto esquematice el Sistema de la UTO.</t>
  </si>
  <si>
    <t>2.- Actualmente de quién es Ud. PROVEEDOR y de quién es CLIENTE?</t>
  </si>
  <si>
    <t>3.- Qué significa: Outsourcing; Feed back; Bench marking?</t>
  </si>
  <si>
    <t>4.- En el hábito de la gente altamente efectiva, cuál es el que se ocupa de la integridad física y mental?</t>
  </si>
  <si>
    <t>can las organizaciones?.</t>
  </si>
  <si>
    <t>1.- Determine el 20% vital y 80% trivial  a) de los +  ;  b) de los -   (VALE 25%)</t>
  </si>
  <si>
    <t>bajado el costo de producción entre la 1ra. Y la última docena?. (VALE 10 Y 10%)</t>
  </si>
  <si>
    <t>mentación - impacto. (VALE 15 Y 10%)</t>
  </si>
  <si>
    <t>TEORÍA (VALE 30%)</t>
  </si>
  <si>
    <t>EXAMEN DE PRIMERA REVALIDA - LA DIRECCION POR SISTEMAS</t>
  </si>
  <si>
    <t>Oruro, 8 dic. 2012</t>
  </si>
  <si>
    <t>5.- Cuál es la diferencia entre una persona COMPROMETIDA  y una persona APROPIADA?, y cuál de ellas bus-</t>
  </si>
  <si>
    <t xml:space="preserve"> - El contenedor especial  que ofrecen para cargar VIA AÉREA tiene las dimensiones: Largo = 90 cm; Ancho = 60 cm;  Alto = 45 cm</t>
  </si>
  <si>
    <t xml:space="preserve"> - La vida útil y óptima para la venta es  máximo 10 días, desde su cosecha.</t>
  </si>
  <si>
    <t xml:space="preserve"> - Hay vuelos diarios por BOA entre Cbba. - Sta. Cruz y deben embarcar en el vuelo de las 10,00 máximo. De  Sta. Cruz a Sao Paulo en Brasil vuelos diarios salen a hrs. 12,20.</t>
  </si>
  <si>
    <t>SUBTOTAL 1</t>
  </si>
  <si>
    <t>Es la planilla mensual de sueldos</t>
  </si>
  <si>
    <t>RESUMEN</t>
  </si>
  <si>
    <t>INVERSIONES</t>
  </si>
  <si>
    <t>GASTOS OPERATIVOS</t>
  </si>
  <si>
    <t>Bs/mes</t>
  </si>
  <si>
    <t>SUBTOTAL 2</t>
  </si>
  <si>
    <t>SUBTOTAL 3</t>
  </si>
  <si>
    <t>GASTOS PROD. Bs/mes</t>
  </si>
  <si>
    <t>GASTOS DE PRODUCCION</t>
  </si>
  <si>
    <t>COSTO DE TRANSPORTE:</t>
  </si>
  <si>
    <t>PRODUCCION:</t>
  </si>
  <si>
    <t xml:space="preserve">1 Gruesa = 3 docenas = </t>
  </si>
  <si>
    <t>flores</t>
  </si>
  <si>
    <t>Rosas/mes</t>
  </si>
  <si>
    <t>Cantidad producc/mes = 36 flores*2160 gruesas =</t>
  </si>
  <si>
    <t>Producción/año (6 meses) = 77760 * 6</t>
  </si>
  <si>
    <t>Rosas/6 meses</t>
  </si>
  <si>
    <t>TRANSPORTE:</t>
  </si>
  <si>
    <t>Cada gruesa se empaca en caja de 45x30x15cm</t>
  </si>
  <si>
    <t xml:space="preserve">El contenedor mide 90x60x45 cm </t>
  </si>
  <si>
    <t>Volumen =</t>
  </si>
  <si>
    <t>cm3</t>
  </si>
  <si>
    <t>CANTIDAD DE CAJAS QUE CABEN EN EL CONTENEDOR:</t>
  </si>
  <si>
    <t>pzas.</t>
  </si>
  <si>
    <t>CANTIDAD DE CONTENEDORES/MES NECESARIOS:</t>
  </si>
  <si>
    <t>Vol contenedor/Vol caja =</t>
  </si>
  <si>
    <t>Necesito transp. 2160 gruesas al mes = 2160 cajas/12 cajas por contenedor</t>
  </si>
  <si>
    <t>Contenedores/mes</t>
  </si>
  <si>
    <t>Medidas del contenedor en cm/6000 (kg) = 90x60x45/6000</t>
  </si>
  <si>
    <t>Kgs.</t>
  </si>
  <si>
    <t>Costo de cada contenedor = 40,5Kgs x 7 US$/kg</t>
  </si>
  <si>
    <t>US$</t>
  </si>
  <si>
    <t>Costo de los 180 contenedores = 180 x 283,5</t>
  </si>
  <si>
    <t>US$/mes</t>
  </si>
  <si>
    <t>Bs/Rosa</t>
  </si>
  <si>
    <t>COSTO DE TRANSPORTE</t>
  </si>
  <si>
    <t>TOTAL COSTOS DIRECTOS</t>
  </si>
  <si>
    <t>G. ADMINISTRATIVOS 10%</t>
  </si>
  <si>
    <t>TASAS E IMPUESTOS 6%</t>
  </si>
  <si>
    <t xml:space="preserve"> = COSTO DE PRODUCCION EX WORK</t>
  </si>
  <si>
    <t>TOTAL COSTO PRODUCCION PUESTO ALEMANIA</t>
  </si>
  <si>
    <t>Bs.</t>
  </si>
  <si>
    <t>COSTO DE UNA ROSA PUESTO MUNICH =</t>
  </si>
  <si>
    <t>Bs</t>
  </si>
  <si>
    <t>PRECIO DE VENTA POR UNIDAD =</t>
  </si>
  <si>
    <t>Euros</t>
  </si>
  <si>
    <t xml:space="preserve"> = DE LAS 2160 GRUESAS/MES</t>
  </si>
  <si>
    <t>MONTO TOTAL CON UTILIDAD = Precio de cada rosa x cant. De rosas = 8,27 x 77760 rosas/mes</t>
  </si>
  <si>
    <t xml:space="preserve">MONTO TOTAL CON UTILIDAD = </t>
  </si>
  <si>
    <t xml:space="preserve">                   GASTOS TOTALES = COSTO DE PRODUCCION EX WORK</t>
  </si>
  <si>
    <t xml:space="preserve">GASTOS TOTALES = </t>
  </si>
  <si>
    <t>MARGEN OPERATIVO = MONTO CON UTILIDAD - COSTOS OPERATIVOS</t>
  </si>
  <si>
    <t xml:space="preserve">MARGEN OPERATIVO = </t>
  </si>
  <si>
    <t xml:space="preserve"> =&gt; SIGNIFICA UN: </t>
  </si>
  <si>
    <t>% DE LOS COSTOS</t>
  </si>
  <si>
    <r>
      <t>C)</t>
    </r>
    <r>
      <rPr>
        <sz val="10"/>
        <rFont val="Arial Narrow"/>
        <family val="2"/>
      </rPr>
      <t xml:space="preserve"> Si el costo de producción de la rosa Nro. 1 ha sido el correspondiente a la pregunta B 2;  cuál será el costo de producciòn de la rosa Nro. X al cabo del 5to. Mes de producción, si:     Fhi  = conocimiento y experiencia = 95%? (10 PUNTOS)</t>
    </r>
  </si>
  <si>
    <t>Contenedores/dia</t>
  </si>
  <si>
    <t>COSTO TOTAL DE PRODUCC. PUESTO ALEMANIA/ TOTAL PRODUCCION MES =</t>
  </si>
  <si>
    <t xml:space="preserve">LA FORMULA GENERAL ES: </t>
  </si>
  <si>
    <t>y(x) = k.x^n</t>
  </si>
  <si>
    <t>y(x) = k.x^(log fhi/log2)</t>
  </si>
  <si>
    <t>k =</t>
  </si>
  <si>
    <t>x = hasta el 5to. Mes de producción: = 77760 rosas/mes x 5 meses</t>
  </si>
  <si>
    <t>x =</t>
  </si>
  <si>
    <t>n= log0,95/log2 =</t>
  </si>
  <si>
    <t>y(x) =</t>
  </si>
  <si>
    <t>SEGÚN LA CURVA DE EXPERIENCIA, LA ROSA NRO. 388800 TENDRÍA QUE COSTAR Bs 2,45</t>
  </si>
  <si>
    <t xml:space="preserve"> = costo de la primera rosa</t>
  </si>
  <si>
    <t>QUE SE PUEDE HACER PARA BAJAR NUESTRO PRECIO DE VENTA Y SER MAS COMPETITIVOS?</t>
  </si>
  <si>
    <t xml:space="preserve"> - Si observamos los 4 costos del resumen el mas relevante es el COSTO DE TRANSPORTE</t>
  </si>
  <si>
    <t xml:space="preserve"> - Cualquier acción que se haga en este aspecto irá directamente a bajar el precio de venta</t>
  </si>
  <si>
    <t xml:space="preserve"> - Ejm. Negociación con la linea aérea, ayuda del gobierno, ver nuevas empresas opcion de rutas aéreas etc.</t>
  </si>
  <si>
    <t>EJEMPLO RESUELTO - COSTOS Y SISTEMA OPERATIVO</t>
  </si>
  <si>
    <t xml:space="preserve"> = COSTO DE UNA GRUESA</t>
  </si>
  <si>
    <t xml:space="preserve"> 1E=7,8Bs.</t>
  </si>
  <si>
    <t xml:space="preserve"> - Hagan un ejercicio bajando el costo de transporte en 1 Bs por kg del contenedor, asumiendo que en vez de pagar 7 negociando con la linea aerea pagamos 6Bs/kg (celda K93)</t>
  </si>
  <si>
    <t xml:space="preserve"> - VEMOS QUE BAJA A 7,56 Bs!!!! Osea un 7,29/8,27 = 11,8%, casi 12% . VEN CUAN IMPORTANTE ES LA LOGÍSTICA Y SUS COSTOS???.</t>
  </si>
  <si>
    <t xml:space="preserve"> - tambien para hacer competitivo el negocio podemos eliminar 1 aguinaldo del eprsonal administrativo</t>
  </si>
  <si>
    <t>ORURO, 21 NOV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</si>
</sst>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0"/>
      <name val="Arial"/>
    </font>
    <font>
      <b/>
      <sz val="10"/>
      <name val="Arial Narrow"/>
      <family val="2"/>
    </font>
    <font>
      <sz val="10"/>
      <name val="Arial Narrow"/>
      <family val="2"/>
    </font>
    <font>
      <sz val="10"/>
      <name val="Arial"/>
    </font>
    <font>
      <b/>
      <sz val="10"/>
      <name val="Arial"/>
      <family val="2"/>
    </font>
    <font>
      <sz val="10"/>
      <color rgb="FFFF0000"/>
      <name val="Arial Narrow"/>
      <family val="2"/>
    </font>
    <font>
      <b/>
      <sz val="10"/>
      <color rgb="FFFF0000"/>
      <name val="Arial Narrow"/>
      <family val="2"/>
    </font>
    <font>
      <b/>
      <sz val="10"/>
      <color theme="0"/>
      <name val="Arial Narrow"/>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102">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xf numFmtId="0" fontId="1" fillId="0" borderId="0" xfId="0" applyFont="1" applyAlignment="1">
      <alignment horizontal="center" wrapText="1"/>
    </xf>
    <xf numFmtId="0" fontId="2" fillId="0" borderId="0" xfId="0" applyFont="1" applyAlignment="1">
      <alignment horizontal="right"/>
    </xf>
    <xf numFmtId="0" fontId="2" fillId="0" borderId="1" xfId="0" applyFont="1" applyBorder="1"/>
    <xf numFmtId="0" fontId="2" fillId="0" borderId="2" xfId="0" applyFont="1" applyBorder="1"/>
    <xf numFmtId="0" fontId="2" fillId="0" borderId="3" xfId="0" applyFont="1" applyBorder="1"/>
    <xf numFmtId="0" fontId="2" fillId="0" borderId="3" xfId="0" applyFont="1" applyBorder="1" applyAlignment="1">
      <alignment horizontal="center"/>
    </xf>
    <xf numFmtId="0" fontId="2" fillId="0" borderId="5" xfId="0" applyFont="1" applyBorder="1"/>
    <xf numFmtId="0" fontId="1" fillId="0" borderId="6"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6" xfId="0" applyFont="1" applyBorder="1" applyAlignment="1">
      <alignment horizontal="right"/>
    </xf>
    <xf numFmtId="0" fontId="2" fillId="0" borderId="1" xfId="0" applyFont="1" applyBorder="1" applyAlignment="1">
      <alignment wrapText="1"/>
    </xf>
    <xf numFmtId="0" fontId="2" fillId="0" borderId="5" xfId="0" applyFont="1" applyBorder="1" applyAlignment="1">
      <alignment wrapText="1"/>
    </xf>
    <xf numFmtId="0" fontId="2" fillId="0" borderId="2" xfId="0" applyFont="1" applyBorder="1" applyAlignment="1">
      <alignment wrapText="1"/>
    </xf>
    <xf numFmtId="0" fontId="2" fillId="0" borderId="5"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left" wrapText="1"/>
    </xf>
    <xf numFmtId="0" fontId="4" fillId="0" borderId="0" xfId="0" applyFont="1" applyAlignment="1">
      <alignment horizontal="center"/>
    </xf>
    <xf numFmtId="0" fontId="0" fillId="0" borderId="1" xfId="0" applyBorder="1"/>
    <xf numFmtId="0" fontId="0" fillId="0" borderId="5" xfId="0" applyBorder="1"/>
    <xf numFmtId="0" fontId="4" fillId="0" borderId="6" xfId="0" applyFont="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xf>
    <xf numFmtId="0" fontId="0" fillId="0" borderId="2" xfId="0" applyBorder="1"/>
    <xf numFmtId="0" fontId="4" fillId="0" borderId="7" xfId="0" applyFont="1" applyBorder="1"/>
    <xf numFmtId="164" fontId="4" fillId="0" borderId="8" xfId="0" applyNumberFormat="1" applyFont="1" applyBorder="1"/>
    <xf numFmtId="0" fontId="4" fillId="0" borderId="9" xfId="0" applyFont="1" applyBorder="1"/>
    <xf numFmtId="164" fontId="4" fillId="0" borderId="10" xfId="0" applyNumberFormat="1" applyFont="1" applyBorder="1"/>
    <xf numFmtId="0" fontId="4" fillId="0" borderId="11" xfId="0" applyFont="1" applyFill="1" applyBorder="1" applyAlignment="1">
      <alignment horizontal="right"/>
    </xf>
    <xf numFmtId="0" fontId="4" fillId="0" borderId="12" xfId="0" applyFont="1" applyFill="1" applyBorder="1" applyAlignment="1">
      <alignment horizontal="right"/>
    </xf>
    <xf numFmtId="0" fontId="4" fillId="0" borderId="0" xfId="0" applyFont="1"/>
    <xf numFmtId="1" fontId="2" fillId="0" borderId="5" xfId="0" applyNumberFormat="1" applyFont="1" applyBorder="1"/>
    <xf numFmtId="1" fontId="2" fillId="0" borderId="1" xfId="0" applyNumberFormat="1" applyFont="1" applyBorder="1"/>
    <xf numFmtId="1" fontId="2" fillId="0" borderId="2" xfId="0" applyNumberFormat="1" applyFont="1" applyBorder="1"/>
    <xf numFmtId="1" fontId="5" fillId="0" borderId="5" xfId="0" applyNumberFormat="1" applyFont="1" applyBorder="1"/>
    <xf numFmtId="164" fontId="5" fillId="0" borderId="5" xfId="0" applyNumberFormat="1" applyFont="1" applyBorder="1"/>
    <xf numFmtId="164" fontId="6" fillId="0" borderId="4" xfId="0" applyNumberFormat="1" applyFont="1" applyBorder="1"/>
    <xf numFmtId="0" fontId="5" fillId="0" borderId="5" xfId="0" applyFont="1" applyBorder="1"/>
    <xf numFmtId="0" fontId="5" fillId="0" borderId="1" xfId="0" applyFont="1" applyBorder="1"/>
    <xf numFmtId="164" fontId="5" fillId="0" borderId="1" xfId="0" applyNumberFormat="1" applyFont="1" applyBorder="1"/>
    <xf numFmtId="0" fontId="5" fillId="0" borderId="2" xfId="0" applyFont="1" applyBorder="1"/>
    <xf numFmtId="0" fontId="5" fillId="0" borderId="0" xfId="0" applyFont="1"/>
    <xf numFmtId="0" fontId="5" fillId="0" borderId="0" xfId="0" applyFont="1" applyAlignment="1">
      <alignment horizontal="right"/>
    </xf>
    <xf numFmtId="0" fontId="5" fillId="0" borderId="1" xfId="0" applyFont="1" applyBorder="1" applyAlignment="1">
      <alignment horizontal="right"/>
    </xf>
    <xf numFmtId="0" fontId="1" fillId="0" borderId="1" xfId="0" applyFont="1" applyBorder="1" applyAlignment="1">
      <alignment horizontal="center" wrapText="1"/>
    </xf>
    <xf numFmtId="0" fontId="5" fillId="0" borderId="0" xfId="0" applyFont="1" applyBorder="1" applyAlignment="1">
      <alignment horizontal="right"/>
    </xf>
    <xf numFmtId="0" fontId="5" fillId="0" borderId="0" xfId="0" applyFont="1" applyBorder="1"/>
    <xf numFmtId="0" fontId="1" fillId="0" borderId="0" xfId="0" applyFont="1" applyBorder="1" applyAlignment="1">
      <alignment horizontal="center" wrapText="1"/>
    </xf>
    <xf numFmtId="164" fontId="5" fillId="0" borderId="0" xfId="0" applyNumberFormat="1" applyFont="1" applyBorder="1"/>
    <xf numFmtId="164" fontId="6" fillId="0" borderId="0" xfId="0" applyNumberFormat="1" applyFont="1" applyBorder="1"/>
    <xf numFmtId="0" fontId="6" fillId="0" borderId="0" xfId="0" applyFont="1"/>
    <xf numFmtId="0" fontId="6" fillId="0" borderId="16" xfId="0" applyFont="1" applyBorder="1"/>
    <xf numFmtId="0" fontId="6" fillId="0" borderId="17" xfId="0" applyFont="1" applyBorder="1"/>
    <xf numFmtId="2" fontId="2" fillId="0" borderId="0" xfId="0" applyNumberFormat="1" applyFont="1"/>
    <xf numFmtId="2" fontId="6" fillId="0" borderId="0" xfId="0" applyNumberFormat="1" applyFont="1"/>
    <xf numFmtId="164" fontId="6" fillId="0" borderId="0" xfId="0" applyNumberFormat="1" applyFont="1"/>
    <xf numFmtId="0" fontId="6" fillId="0" borderId="0" xfId="0" applyFont="1" applyAlignment="1">
      <alignment horizontal="center"/>
    </xf>
    <xf numFmtId="164" fontId="6" fillId="0" borderId="16" xfId="0" applyNumberFormat="1" applyFont="1" applyBorder="1"/>
    <xf numFmtId="2" fontId="6" fillId="0" borderId="16" xfId="0" applyNumberFormat="1" applyFont="1" applyBorder="1"/>
    <xf numFmtId="0" fontId="6" fillId="0" borderId="0" xfId="0" applyFont="1" applyAlignment="1">
      <alignment horizontal="right"/>
    </xf>
    <xf numFmtId="2" fontId="5" fillId="0" borderId="0" xfId="0" applyNumberFormat="1" applyFont="1"/>
    <xf numFmtId="0" fontId="6" fillId="2" borderId="16" xfId="0" applyFont="1" applyFill="1" applyBorder="1"/>
    <xf numFmtId="0" fontId="6" fillId="2" borderId="18" xfId="0" applyFont="1" applyFill="1" applyBorder="1"/>
    <xf numFmtId="164" fontId="6" fillId="2" borderId="17" xfId="0" applyNumberFormat="1" applyFont="1" applyFill="1" applyBorder="1"/>
    <xf numFmtId="0" fontId="6" fillId="2" borderId="0" xfId="0" applyFont="1" applyFill="1"/>
    <xf numFmtId="164" fontId="6" fillId="2" borderId="0" xfId="0" applyNumberFormat="1" applyFont="1" applyFill="1"/>
    <xf numFmtId="0" fontId="5" fillId="0" borderId="0" xfId="0" applyFont="1" applyAlignment="1">
      <alignment horizontal="left"/>
    </xf>
    <xf numFmtId="0" fontId="6" fillId="0" borderId="0" xfId="0" applyFont="1" applyAlignment="1">
      <alignment horizontal="left"/>
    </xf>
    <xf numFmtId="0" fontId="7" fillId="3" borderId="0" xfId="0" applyFont="1" applyFill="1" applyAlignment="1">
      <alignment horizontal="right"/>
    </xf>
    <xf numFmtId="2" fontId="7" fillId="3" borderId="16" xfId="0" applyNumberFormat="1" applyFont="1" applyFill="1" applyBorder="1"/>
    <xf numFmtId="0" fontId="7" fillId="3" borderId="17" xfId="0" applyFont="1" applyFill="1" applyBorder="1"/>
    <xf numFmtId="2" fontId="7" fillId="3" borderId="0" xfId="0" applyNumberFormat="1" applyFont="1" applyFill="1"/>
    <xf numFmtId="0" fontId="7" fillId="3" borderId="0" xfId="0" applyFont="1" applyFill="1"/>
    <xf numFmtId="0" fontId="8" fillId="0" borderId="0" xfId="0" applyFont="1"/>
    <xf numFmtId="0" fontId="2" fillId="0" borderId="0" xfId="0" applyFont="1" applyFill="1" applyAlignment="1">
      <alignment horizontal="right"/>
    </xf>
    <xf numFmtId="0" fontId="7" fillId="0" borderId="0" xfId="0" applyFont="1" applyFill="1" applyAlignment="1">
      <alignment horizontal="right"/>
    </xf>
    <xf numFmtId="2" fontId="7" fillId="0" borderId="0" xfId="0" applyNumberFormat="1" applyFont="1" applyFill="1"/>
    <xf numFmtId="0" fontId="7" fillId="0" borderId="0" xfId="0" applyFont="1" applyFill="1"/>
    <xf numFmtId="0" fontId="2" fillId="0" borderId="0" xfId="0" applyFont="1" applyFill="1"/>
    <xf numFmtId="0" fontId="6" fillId="0" borderId="0" xfId="0" applyFont="1" applyFill="1" applyAlignment="1">
      <alignment horizontal="left"/>
    </xf>
    <xf numFmtId="2" fontId="6" fillId="0" borderId="0" xfId="0" applyNumberFormat="1" applyFont="1" applyFill="1"/>
    <xf numFmtId="0" fontId="6" fillId="0" borderId="0" xfId="0" applyFont="1" applyFill="1"/>
    <xf numFmtId="0" fontId="5" fillId="0" borderId="0" xfId="0" applyFont="1" applyFill="1"/>
    <xf numFmtId="0" fontId="5" fillId="0" borderId="0" xfId="0" applyFont="1" applyFill="1" applyAlignment="1">
      <alignment horizontal="left"/>
    </xf>
    <xf numFmtId="0" fontId="6" fillId="0" borderId="15" xfId="0" applyFont="1" applyBorder="1" applyAlignment="1">
      <alignment horizontal="right"/>
    </xf>
    <xf numFmtId="0" fontId="6" fillId="0" borderId="14" xfId="0" applyFont="1" applyBorder="1" applyAlignment="1">
      <alignment horizontal="right"/>
    </xf>
    <xf numFmtId="0" fontId="6" fillId="0" borderId="0" xfId="0" applyFont="1" applyAlignment="1">
      <alignment horizontal="right"/>
    </xf>
    <xf numFmtId="0" fontId="6" fillId="0" borderId="19" xfId="0" applyFont="1" applyBorder="1" applyAlignment="1">
      <alignment horizontal="right"/>
    </xf>
    <xf numFmtId="0" fontId="2" fillId="0" borderId="0" xfId="0" applyFont="1" applyAlignment="1">
      <alignment horizontal="left" wrapText="1"/>
    </xf>
    <xf numFmtId="0" fontId="6" fillId="0" borderId="13" xfId="0" applyFont="1" applyBorder="1" applyAlignment="1">
      <alignment horizontal="right"/>
    </xf>
    <xf numFmtId="0" fontId="6" fillId="2" borderId="16" xfId="0" applyFont="1" applyFill="1" applyBorder="1" applyAlignment="1">
      <alignment horizontal="center"/>
    </xf>
    <xf numFmtId="0" fontId="6" fillId="2" borderId="18" xfId="0" applyFont="1" applyFill="1" applyBorder="1" applyAlignment="1">
      <alignment horizontal="center"/>
    </xf>
    <xf numFmtId="0" fontId="6" fillId="2" borderId="17" xfId="0" applyFont="1" applyFill="1" applyBorder="1" applyAlignment="1">
      <alignment horizontal="center"/>
    </xf>
    <xf numFmtId="0" fontId="1" fillId="0" borderId="0" xfId="0" applyFont="1" applyAlignment="1">
      <alignment horizontal="left" wrapText="1"/>
    </xf>
    <xf numFmtId="0" fontId="4"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104775</xdr:rowOff>
    </xdr:from>
    <xdr:to>
      <xdr:col>7</xdr:col>
      <xdr:colOff>885825</xdr:colOff>
      <xdr:row>49</xdr:row>
      <xdr:rowOff>9525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667250"/>
          <a:ext cx="6762750" cy="4114800"/>
        </a:xfrm>
        <a:prstGeom prst="rect">
          <a:avLst/>
        </a:prstGeom>
        <a:noFill/>
      </xdr:spPr>
    </xdr:pic>
    <xdr:clientData/>
  </xdr:twoCellAnchor>
  <xdr:twoCellAnchor>
    <xdr:from>
      <xdr:col>1</xdr:col>
      <xdr:colOff>1971675</xdr:colOff>
      <xdr:row>39</xdr:row>
      <xdr:rowOff>95250</xdr:rowOff>
    </xdr:from>
    <xdr:to>
      <xdr:col>2</xdr:col>
      <xdr:colOff>38100</xdr:colOff>
      <xdr:row>39</xdr:row>
      <xdr:rowOff>123825</xdr:rowOff>
    </xdr:to>
    <xdr:sp macro="" textlink="">
      <xdr:nvSpPr>
        <xdr:cNvPr id="1028" name="Line 4">
          <a:extLst>
            <a:ext uri="{FF2B5EF4-FFF2-40B4-BE49-F238E27FC236}">
              <a16:creationId xmlns:a16="http://schemas.microsoft.com/office/drawing/2014/main" id="{00000000-0008-0000-0000-000004040000}"/>
            </a:ext>
          </a:extLst>
        </xdr:cNvPr>
        <xdr:cNvSpPr>
          <a:spLocks noChangeShapeType="1"/>
        </xdr:cNvSpPr>
      </xdr:nvSpPr>
      <xdr:spPr bwMode="auto">
        <a:xfrm>
          <a:off x="2266950" y="6753225"/>
          <a:ext cx="400050" cy="28575"/>
        </a:xfrm>
        <a:prstGeom prst="line">
          <a:avLst/>
        </a:prstGeom>
        <a:noFill/>
        <a:ln w="19050">
          <a:solidFill>
            <a:srgbClr val="000000"/>
          </a:solidFill>
          <a:round/>
          <a:headEnd/>
          <a:tailEnd type="arrow" w="med" len="med"/>
        </a:ln>
      </xdr:spPr>
    </xdr:sp>
    <xdr:clientData/>
  </xdr:twoCellAnchor>
  <xdr:twoCellAnchor>
    <xdr:from>
      <xdr:col>2</xdr:col>
      <xdr:colOff>66675</xdr:colOff>
      <xdr:row>30</xdr:row>
      <xdr:rowOff>47625</xdr:rowOff>
    </xdr:from>
    <xdr:to>
      <xdr:col>3</xdr:col>
      <xdr:colOff>352425</xdr:colOff>
      <xdr:row>39</xdr:row>
      <xdr:rowOff>123825</xdr:rowOff>
    </xdr:to>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2695575" y="5248275"/>
          <a:ext cx="1085850" cy="1533525"/>
        </a:xfrm>
        <a:custGeom>
          <a:avLst/>
          <a:gdLst/>
          <a:ahLst/>
          <a:cxnLst>
            <a:cxn ang="0">
              <a:pos x="0" y="161"/>
            </a:cxn>
            <a:cxn ang="0">
              <a:pos x="8" y="96"/>
            </a:cxn>
            <a:cxn ang="0">
              <a:pos x="38" y="40"/>
            </a:cxn>
            <a:cxn ang="0">
              <a:pos x="95" y="0"/>
            </a:cxn>
          </a:cxnLst>
          <a:rect l="0" t="0" r="r" b="b"/>
          <a:pathLst>
            <a:path w="95" h="161">
              <a:moveTo>
                <a:pt x="0" y="161"/>
              </a:moveTo>
              <a:cubicBezTo>
                <a:pt x="1" y="138"/>
                <a:pt x="2" y="116"/>
                <a:pt x="8" y="96"/>
              </a:cubicBezTo>
              <a:cubicBezTo>
                <a:pt x="14" y="76"/>
                <a:pt x="24" y="56"/>
                <a:pt x="38" y="40"/>
              </a:cubicBezTo>
              <a:cubicBezTo>
                <a:pt x="52" y="24"/>
                <a:pt x="85" y="7"/>
                <a:pt x="95" y="0"/>
              </a:cubicBezTo>
            </a:path>
          </a:pathLst>
        </a:custGeom>
        <a:noFill/>
        <a:ln w="19050" cmpd="sng">
          <a:solidFill>
            <a:srgbClr val="000000"/>
          </a:solidFill>
          <a:round/>
          <a:headEnd type="none" w="med" len="med"/>
          <a:tailEnd type="arrow" w="med" len="me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45"/>
  <sheetViews>
    <sheetView tabSelected="1" topLeftCell="A127" workbookViewId="0">
      <selection activeCell="H139" sqref="H139"/>
    </sheetView>
  </sheetViews>
  <sheetFormatPr baseColWidth="10" defaultRowHeight="12.75" x14ac:dyDescent="0.2"/>
  <cols>
    <col min="1" max="1" width="4.42578125" customWidth="1"/>
    <col min="2" max="2" width="35" customWidth="1"/>
    <col min="3" max="4" width="12" customWidth="1"/>
    <col min="5" max="5" width="14.5703125" customWidth="1"/>
    <col min="6" max="6" width="13.140625" customWidth="1"/>
    <col min="7" max="7" width="13.42578125" customWidth="1"/>
    <col min="8" max="8" width="18.42578125" customWidth="1"/>
    <col min="9" max="9" width="16" customWidth="1"/>
    <col min="10" max="10" width="17.28515625" customWidth="1"/>
  </cols>
  <sheetData>
    <row r="2" spans="1:9" x14ac:dyDescent="0.2">
      <c r="A2" s="37" t="s">
        <v>179</v>
      </c>
    </row>
    <row r="3" spans="1:9" ht="15.75" customHeight="1" x14ac:dyDescent="0.2"/>
    <row r="4" spans="1:9" ht="24" customHeight="1" x14ac:dyDescent="0.2">
      <c r="A4" s="95" t="s">
        <v>1</v>
      </c>
      <c r="B4" s="95"/>
      <c r="C4" s="95"/>
      <c r="D4" s="95"/>
      <c r="E4" s="95"/>
      <c r="F4" s="95"/>
      <c r="G4" s="95"/>
      <c r="H4" s="95"/>
      <c r="I4" s="22"/>
    </row>
    <row r="5" spans="1:9" x14ac:dyDescent="0.2">
      <c r="A5" s="3" t="s">
        <v>0</v>
      </c>
      <c r="B5" s="4"/>
      <c r="C5" s="4"/>
      <c r="D5" s="4"/>
      <c r="E5" s="4"/>
      <c r="F5" s="4"/>
      <c r="G5" s="4"/>
      <c r="H5" s="4"/>
      <c r="I5" s="4"/>
    </row>
    <row r="6" spans="1:9" x14ac:dyDescent="0.2">
      <c r="A6" s="3" t="s">
        <v>13</v>
      </c>
      <c r="B6" s="3"/>
      <c r="C6" s="3"/>
      <c r="D6" s="3"/>
      <c r="E6" s="3"/>
      <c r="F6" s="3"/>
      <c r="G6" s="3"/>
      <c r="H6" s="3"/>
      <c r="I6" s="3"/>
    </row>
    <row r="7" spans="1:9" ht="14.25" customHeight="1" x14ac:dyDescent="0.2">
      <c r="A7" s="95" t="s">
        <v>40</v>
      </c>
      <c r="B7" s="95"/>
      <c r="C7" s="95"/>
      <c r="D7" s="95"/>
      <c r="E7" s="95"/>
      <c r="F7" s="95"/>
      <c r="G7" s="95"/>
      <c r="H7" s="95"/>
      <c r="I7" s="22"/>
    </row>
    <row r="8" spans="1:9" x14ac:dyDescent="0.2">
      <c r="A8" s="3" t="s">
        <v>2</v>
      </c>
      <c r="B8" s="3"/>
      <c r="C8" s="3"/>
      <c r="D8" s="3"/>
      <c r="E8" s="3"/>
      <c r="F8" s="3"/>
      <c r="G8" s="3"/>
      <c r="H8" s="3"/>
      <c r="I8" s="3"/>
    </row>
    <row r="9" spans="1:9" x14ac:dyDescent="0.2">
      <c r="A9" s="3" t="s">
        <v>103</v>
      </c>
      <c r="B9" s="3"/>
      <c r="C9" s="3"/>
      <c r="D9" s="3"/>
      <c r="E9" s="3"/>
      <c r="F9" s="3"/>
      <c r="G9" s="3"/>
      <c r="H9" s="3"/>
      <c r="I9" s="3"/>
    </row>
    <row r="10" spans="1:9" x14ac:dyDescent="0.2">
      <c r="A10" s="3" t="s">
        <v>104</v>
      </c>
      <c r="B10" s="3"/>
      <c r="C10" s="3"/>
      <c r="D10" s="3"/>
      <c r="E10" s="3"/>
      <c r="F10" s="3"/>
      <c r="G10" s="3"/>
      <c r="H10" s="3"/>
      <c r="I10" s="3"/>
    </row>
    <row r="11" spans="1:9" x14ac:dyDescent="0.2">
      <c r="A11" s="95" t="s">
        <v>105</v>
      </c>
      <c r="B11" s="95"/>
      <c r="C11" s="95"/>
      <c r="D11" s="95"/>
      <c r="E11" s="95"/>
      <c r="F11" s="95"/>
      <c r="G11" s="95"/>
      <c r="H11" s="95"/>
      <c r="I11" s="22"/>
    </row>
    <row r="12" spans="1:9" x14ac:dyDescent="0.2">
      <c r="A12" s="3" t="s">
        <v>6</v>
      </c>
      <c r="B12" s="3"/>
      <c r="C12" s="3"/>
      <c r="D12" s="3"/>
      <c r="E12" s="3"/>
      <c r="F12" s="3"/>
      <c r="G12" s="3"/>
      <c r="H12" s="3"/>
      <c r="I12" s="3"/>
    </row>
    <row r="13" spans="1:9" x14ac:dyDescent="0.2">
      <c r="A13" s="3" t="s">
        <v>53</v>
      </c>
      <c r="B13" s="3"/>
      <c r="C13" s="3"/>
      <c r="D13" s="3"/>
      <c r="E13" s="3"/>
      <c r="F13" s="3"/>
      <c r="G13" s="3"/>
      <c r="H13" s="3"/>
      <c r="I13" s="3"/>
    </row>
    <row r="14" spans="1:9" x14ac:dyDescent="0.2">
      <c r="A14" s="3" t="s">
        <v>3</v>
      </c>
      <c r="B14" s="3"/>
      <c r="C14" s="3"/>
      <c r="D14" s="3"/>
      <c r="E14" s="3"/>
      <c r="F14" s="3"/>
      <c r="G14" s="3"/>
      <c r="H14" s="3"/>
      <c r="I14" s="3"/>
    </row>
    <row r="15" spans="1:9" x14ac:dyDescent="0.2">
      <c r="A15" s="3"/>
      <c r="B15" s="3" t="s">
        <v>4</v>
      </c>
      <c r="C15" s="3"/>
      <c r="D15" s="3"/>
      <c r="E15" s="3"/>
      <c r="F15" s="3"/>
      <c r="G15" s="3"/>
      <c r="H15" s="3"/>
      <c r="I15" s="3"/>
    </row>
    <row r="16" spans="1:9" x14ac:dyDescent="0.2">
      <c r="A16" s="3"/>
      <c r="B16" s="3" t="s">
        <v>5</v>
      </c>
      <c r="C16" s="3"/>
      <c r="D16" s="3"/>
      <c r="E16" s="3"/>
      <c r="F16" s="3"/>
      <c r="G16" s="3"/>
      <c r="H16" s="3"/>
      <c r="I16" s="3"/>
    </row>
    <row r="17" spans="1:9" ht="24" customHeight="1" x14ac:dyDescent="0.2">
      <c r="A17" s="95" t="s">
        <v>44</v>
      </c>
      <c r="B17" s="95"/>
      <c r="C17" s="95"/>
      <c r="D17" s="95"/>
      <c r="E17" s="95"/>
      <c r="F17" s="95"/>
      <c r="G17" s="95"/>
      <c r="H17" s="95"/>
      <c r="I17" s="22"/>
    </row>
    <row r="18" spans="1:9" s="3" customFormat="1" x14ac:dyDescent="0.2">
      <c r="A18" s="2" t="s">
        <v>38</v>
      </c>
    </row>
    <row r="19" spans="1:9" s="3" customFormat="1" x14ac:dyDescent="0.2">
      <c r="A19" s="3" t="s">
        <v>41</v>
      </c>
    </row>
    <row r="20" spans="1:9" s="3" customFormat="1" x14ac:dyDescent="0.2">
      <c r="A20" s="3" t="s">
        <v>49</v>
      </c>
      <c r="H20" s="48"/>
    </row>
    <row r="21" spans="1:9" s="3" customFormat="1" x14ac:dyDescent="0.2">
      <c r="A21" s="3" t="s">
        <v>51</v>
      </c>
    </row>
    <row r="22" spans="1:9" s="3" customFormat="1" x14ac:dyDescent="0.2">
      <c r="A22" s="3" t="s">
        <v>50</v>
      </c>
    </row>
    <row r="23" spans="1:9" s="3" customFormat="1" x14ac:dyDescent="0.2"/>
    <row r="24" spans="1:9" s="3" customFormat="1" x14ac:dyDescent="0.2">
      <c r="A24"/>
    </row>
    <row r="25" spans="1:9" s="3" customFormat="1" x14ac:dyDescent="0.2"/>
    <row r="26" spans="1:9" s="3" customFormat="1" x14ac:dyDescent="0.2"/>
    <row r="27" spans="1:9" s="3" customFormat="1" x14ac:dyDescent="0.2"/>
    <row r="28" spans="1:9" s="3" customFormat="1" x14ac:dyDescent="0.2"/>
    <row r="29" spans="1:9" s="3" customFormat="1" x14ac:dyDescent="0.2"/>
    <row r="30" spans="1:9" s="3" customFormat="1" x14ac:dyDescent="0.2"/>
    <row r="31" spans="1:9" s="3" customFormat="1" x14ac:dyDescent="0.2"/>
    <row r="32" spans="1:9" s="3" customFormat="1" x14ac:dyDescent="0.2"/>
    <row r="33" s="3" customFormat="1" x14ac:dyDescent="0.2"/>
    <row r="34" s="3" customFormat="1" x14ac:dyDescent="0.2"/>
    <row r="35" s="3" customFormat="1" x14ac:dyDescent="0.2"/>
    <row r="36" s="3" customFormat="1" x14ac:dyDescent="0.2"/>
    <row r="37" s="3" customFormat="1" x14ac:dyDescent="0.2"/>
    <row r="38" s="3" customFormat="1" x14ac:dyDescent="0.2"/>
    <row r="39" s="3" customFormat="1" x14ac:dyDescent="0.2"/>
    <row r="40" s="3" customFormat="1" x14ac:dyDescent="0.2"/>
    <row r="41" s="3" customFormat="1" x14ac:dyDescent="0.2"/>
    <row r="42" s="3" customFormat="1" x14ac:dyDescent="0.2"/>
    <row r="43" s="3" customFormat="1" x14ac:dyDescent="0.2"/>
    <row r="44" s="3" customFormat="1" x14ac:dyDescent="0.2"/>
    <row r="45" s="3" customFormat="1" x14ac:dyDescent="0.2"/>
    <row r="46" s="3" customFormat="1" x14ac:dyDescent="0.2"/>
    <row r="47" s="3" customFormat="1" x14ac:dyDescent="0.2"/>
    <row r="48" s="3" customFormat="1" x14ac:dyDescent="0.2"/>
    <row r="49" spans="1:9" s="3" customFormat="1" x14ac:dyDescent="0.2"/>
    <row r="50" spans="1:9" s="3" customFormat="1" x14ac:dyDescent="0.2"/>
    <row r="51" spans="1:9" s="3" customFormat="1" ht="12" customHeight="1" x14ac:dyDescent="0.2"/>
    <row r="52" spans="1:9" s="3" customFormat="1" x14ac:dyDescent="0.2">
      <c r="A52" s="2" t="s">
        <v>7</v>
      </c>
    </row>
    <row r="53" spans="1:9" s="3" customFormat="1" ht="13.5" thickBot="1" x14ac:dyDescent="0.25">
      <c r="A53" s="2" t="s">
        <v>33</v>
      </c>
    </row>
    <row r="54" spans="1:9" s="3" customFormat="1" ht="26.25" thickBot="1" x14ac:dyDescent="0.25">
      <c r="A54" s="12" t="s">
        <v>8</v>
      </c>
      <c r="B54" s="13" t="s">
        <v>11</v>
      </c>
      <c r="C54" s="13" t="s">
        <v>12</v>
      </c>
      <c r="D54" s="13" t="s">
        <v>9</v>
      </c>
      <c r="E54" s="13" t="s">
        <v>14</v>
      </c>
      <c r="F54" s="13" t="s">
        <v>15</v>
      </c>
      <c r="G54" s="13" t="s">
        <v>10</v>
      </c>
      <c r="H54" s="14" t="s">
        <v>16</v>
      </c>
      <c r="I54" s="54"/>
    </row>
    <row r="55" spans="1:9" s="3" customFormat="1" x14ac:dyDescent="0.2">
      <c r="A55" s="11">
        <v>1</v>
      </c>
      <c r="B55" s="11" t="s">
        <v>17</v>
      </c>
      <c r="C55" s="38">
        <v>20000</v>
      </c>
      <c r="D55" s="19">
        <v>3</v>
      </c>
      <c r="E55" s="11">
        <v>0</v>
      </c>
      <c r="F55" s="41">
        <f>C55-E55</f>
        <v>20000</v>
      </c>
      <c r="G55" s="42">
        <f>F55/D55</f>
        <v>6666.666666666667</v>
      </c>
      <c r="H55" s="42">
        <f>G55*6.96/12</f>
        <v>3866.6666666666665</v>
      </c>
      <c r="I55" s="55"/>
    </row>
    <row r="56" spans="1:9" s="3" customFormat="1" x14ac:dyDescent="0.2">
      <c r="A56" s="7">
        <v>2</v>
      </c>
      <c r="B56" s="7" t="s">
        <v>18</v>
      </c>
      <c r="C56" s="39">
        <v>20000</v>
      </c>
      <c r="D56" s="20">
        <v>3</v>
      </c>
      <c r="E56" s="7">
        <v>1000</v>
      </c>
      <c r="F56" s="41">
        <f>C56-E56</f>
        <v>19000</v>
      </c>
      <c r="G56" s="42">
        <f t="shared" ref="G56:G60" si="0">F56/D56</f>
        <v>6333.333333333333</v>
      </c>
      <c r="H56" s="42">
        <f t="shared" ref="H56:H60" si="1">G56*6.96/12</f>
        <v>3673.3333333333335</v>
      </c>
      <c r="I56" s="55"/>
    </row>
    <row r="57" spans="1:9" s="3" customFormat="1" x14ac:dyDescent="0.2">
      <c r="A57" s="7">
        <v>3</v>
      </c>
      <c r="B57" s="7" t="s">
        <v>19</v>
      </c>
      <c r="C57" s="39">
        <v>10000</v>
      </c>
      <c r="D57" s="20">
        <v>3</v>
      </c>
      <c r="E57" s="7">
        <v>0</v>
      </c>
      <c r="F57" s="41">
        <f t="shared" ref="F57:F60" si="2">C57-E57</f>
        <v>10000</v>
      </c>
      <c r="G57" s="42">
        <f t="shared" si="0"/>
        <v>3333.3333333333335</v>
      </c>
      <c r="H57" s="42">
        <f t="shared" si="1"/>
        <v>1933.3333333333333</v>
      </c>
      <c r="I57" s="55"/>
    </row>
    <row r="58" spans="1:9" s="3" customFormat="1" x14ac:dyDescent="0.2">
      <c r="A58" s="7">
        <v>4</v>
      </c>
      <c r="B58" s="7" t="s">
        <v>20</v>
      </c>
      <c r="C58" s="39">
        <v>5000</v>
      </c>
      <c r="D58" s="20">
        <v>3</v>
      </c>
      <c r="E58" s="7">
        <v>500</v>
      </c>
      <c r="F58" s="41">
        <f t="shared" si="2"/>
        <v>4500</v>
      </c>
      <c r="G58" s="42">
        <f t="shared" si="0"/>
        <v>1500</v>
      </c>
      <c r="H58" s="42">
        <f t="shared" si="1"/>
        <v>870</v>
      </c>
      <c r="I58" s="55"/>
    </row>
    <row r="59" spans="1:9" s="3" customFormat="1" x14ac:dyDescent="0.2">
      <c r="A59" s="7">
        <v>5</v>
      </c>
      <c r="B59" s="7" t="s">
        <v>21</v>
      </c>
      <c r="C59" s="39">
        <v>15000</v>
      </c>
      <c r="D59" s="20">
        <v>3</v>
      </c>
      <c r="E59" s="7">
        <v>600</v>
      </c>
      <c r="F59" s="41">
        <f t="shared" si="2"/>
        <v>14400</v>
      </c>
      <c r="G59" s="42">
        <f t="shared" si="0"/>
        <v>4800</v>
      </c>
      <c r="H59" s="42">
        <f t="shared" si="1"/>
        <v>2784</v>
      </c>
      <c r="I59" s="55"/>
    </row>
    <row r="60" spans="1:9" s="3" customFormat="1" ht="13.5" thickBot="1" x14ac:dyDescent="0.25">
      <c r="A60" s="7">
        <v>6</v>
      </c>
      <c r="B60" s="8" t="s">
        <v>22</v>
      </c>
      <c r="C60" s="40">
        <v>28000</v>
      </c>
      <c r="D60" s="21">
        <v>3</v>
      </c>
      <c r="E60" s="8">
        <v>8000</v>
      </c>
      <c r="F60" s="41">
        <f t="shared" si="2"/>
        <v>20000</v>
      </c>
      <c r="G60" s="42">
        <f t="shared" si="0"/>
        <v>6666.666666666667</v>
      </c>
      <c r="H60" s="42">
        <f t="shared" si="1"/>
        <v>3866.6666666666665</v>
      </c>
      <c r="I60" s="55"/>
    </row>
    <row r="61" spans="1:9" s="3" customFormat="1" ht="21" customHeight="1" thickBot="1" x14ac:dyDescent="0.25">
      <c r="B61" s="15"/>
      <c r="C61" s="9"/>
      <c r="D61" s="10"/>
      <c r="E61" s="10"/>
      <c r="F61" s="96" t="s">
        <v>106</v>
      </c>
      <c r="G61" s="92"/>
      <c r="H61" s="43">
        <f>SUM(H55:H60)</f>
        <v>16994</v>
      </c>
      <c r="I61" s="56"/>
    </row>
    <row r="62" spans="1:9" s="3" customFormat="1" ht="6" customHeight="1" x14ac:dyDescent="0.2"/>
    <row r="63" spans="1:9" s="3" customFormat="1" ht="13.5" thickBot="1" x14ac:dyDescent="0.25">
      <c r="A63" s="2" t="s">
        <v>32</v>
      </c>
    </row>
    <row r="64" spans="1:9" s="1" customFormat="1" ht="39" thickBot="1" x14ac:dyDescent="0.25">
      <c r="A64" s="12" t="s">
        <v>8</v>
      </c>
      <c r="B64" s="13" t="s">
        <v>23</v>
      </c>
      <c r="C64" s="13" t="s">
        <v>25</v>
      </c>
      <c r="D64" s="14" t="s">
        <v>26</v>
      </c>
      <c r="E64" s="5"/>
      <c r="F64" s="5"/>
      <c r="G64" s="5"/>
      <c r="H64" s="5"/>
      <c r="I64" s="5"/>
    </row>
    <row r="65" spans="1:11" s="3" customFormat="1" ht="25.5" x14ac:dyDescent="0.2">
      <c r="A65" s="11">
        <v>1</v>
      </c>
      <c r="B65" s="17" t="s">
        <v>24</v>
      </c>
      <c r="C65" s="44">
        <v>18000</v>
      </c>
      <c r="D65" s="44">
        <f>18000*1.55</f>
        <v>27900</v>
      </c>
    </row>
    <row r="66" spans="1:11" s="3" customFormat="1" x14ac:dyDescent="0.2">
      <c r="A66" s="7">
        <v>2</v>
      </c>
      <c r="B66" s="16" t="s">
        <v>27</v>
      </c>
      <c r="C66" s="7">
        <v>10500</v>
      </c>
      <c r="D66" s="45">
        <f>C66*1.55</f>
        <v>16275</v>
      </c>
    </row>
    <row r="67" spans="1:11" s="3" customFormat="1" x14ac:dyDescent="0.2">
      <c r="A67" s="7">
        <v>3</v>
      </c>
      <c r="B67" s="7" t="s">
        <v>28</v>
      </c>
      <c r="C67" s="7">
        <v>7500</v>
      </c>
      <c r="D67" s="45">
        <f>C67*1.55</f>
        <v>11625</v>
      </c>
    </row>
    <row r="68" spans="1:11" s="3" customFormat="1" ht="13.5" thickBot="1" x14ac:dyDescent="0.25">
      <c r="A68" s="7">
        <v>4</v>
      </c>
      <c r="B68" s="18" t="s">
        <v>29</v>
      </c>
      <c r="C68" s="47">
        <v>5000</v>
      </c>
      <c r="D68" s="46">
        <f>C68*1.55</f>
        <v>7750</v>
      </c>
    </row>
    <row r="69" spans="1:11" s="3" customFormat="1" ht="18" customHeight="1" thickBot="1" x14ac:dyDescent="0.25">
      <c r="B69" s="91" t="s">
        <v>112</v>
      </c>
      <c r="C69" s="92"/>
      <c r="D69" s="43">
        <f>SUM(D65:D68)</f>
        <v>63550</v>
      </c>
      <c r="E69" s="3" t="s">
        <v>107</v>
      </c>
    </row>
    <row r="70" spans="1:11" s="3" customFormat="1" x14ac:dyDescent="0.2"/>
    <row r="71" spans="1:11" s="3" customFormat="1" x14ac:dyDescent="0.2">
      <c r="A71" s="2" t="s">
        <v>30</v>
      </c>
    </row>
    <row r="72" spans="1:11" s="3" customFormat="1" ht="26.25" customHeight="1" x14ac:dyDescent="0.2">
      <c r="B72" s="95" t="s">
        <v>31</v>
      </c>
      <c r="C72" s="95"/>
      <c r="D72" s="95"/>
      <c r="E72" s="95"/>
      <c r="F72" s="95"/>
      <c r="G72" s="95"/>
      <c r="H72" s="95"/>
      <c r="I72" s="22"/>
    </row>
    <row r="73" spans="1:11" s="3" customFormat="1" ht="32.25" customHeight="1" x14ac:dyDescent="0.2">
      <c r="B73" s="22"/>
      <c r="C73" s="22"/>
      <c r="D73" s="51" t="s">
        <v>114</v>
      </c>
      <c r="E73" s="22"/>
      <c r="F73" s="22"/>
      <c r="G73" s="22"/>
      <c r="H73" s="22"/>
      <c r="I73" s="22"/>
    </row>
    <row r="74" spans="1:11" s="3" customFormat="1" ht="15" customHeight="1" x14ac:dyDescent="0.2">
      <c r="C74" s="50" t="s">
        <v>113</v>
      </c>
      <c r="D74" s="45">
        <f>60000/12</f>
        <v>5000</v>
      </c>
    </row>
    <row r="75" spans="1:11" s="3" customFormat="1" ht="15" customHeight="1" x14ac:dyDescent="0.2">
      <c r="C75" s="52"/>
      <c r="D75" s="53"/>
    </row>
    <row r="76" spans="1:11" s="3" customFormat="1" x14ac:dyDescent="0.2">
      <c r="A76" s="2" t="s">
        <v>34</v>
      </c>
      <c r="H76" s="57" t="s">
        <v>117</v>
      </c>
    </row>
    <row r="77" spans="1:11" s="3" customFormat="1" x14ac:dyDescent="0.2">
      <c r="B77" s="3" t="s">
        <v>45</v>
      </c>
      <c r="H77" s="48" t="s">
        <v>118</v>
      </c>
      <c r="I77" s="48"/>
      <c r="J77" s="57">
        <f>3*12</f>
        <v>36</v>
      </c>
      <c r="K77" s="48" t="s">
        <v>119</v>
      </c>
    </row>
    <row r="78" spans="1:11" s="3" customFormat="1" x14ac:dyDescent="0.2">
      <c r="B78" s="3" t="s">
        <v>46</v>
      </c>
      <c r="H78" s="48" t="s">
        <v>121</v>
      </c>
      <c r="I78" s="48"/>
      <c r="J78" s="57">
        <f>J77*2160</f>
        <v>77760</v>
      </c>
      <c r="K78" s="48" t="s">
        <v>120</v>
      </c>
    </row>
    <row r="79" spans="1:11" s="3" customFormat="1" x14ac:dyDescent="0.2">
      <c r="H79" s="48" t="s">
        <v>122</v>
      </c>
      <c r="I79" s="48"/>
      <c r="J79" s="57">
        <f>J78*6</f>
        <v>466560</v>
      </c>
      <c r="K79" s="48" t="s">
        <v>123</v>
      </c>
    </row>
    <row r="80" spans="1:11" s="3" customFormat="1" x14ac:dyDescent="0.2">
      <c r="A80" s="57" t="s">
        <v>108</v>
      </c>
      <c r="B80" s="57"/>
      <c r="C80" s="63" t="s">
        <v>111</v>
      </c>
      <c r="H80" s="48"/>
      <c r="I80" s="48"/>
      <c r="J80" s="48"/>
      <c r="K80" s="48"/>
    </row>
    <row r="81" spans="1:12" s="3" customFormat="1" x14ac:dyDescent="0.2">
      <c r="A81" s="57">
        <v>1</v>
      </c>
      <c r="B81" s="57" t="s">
        <v>109</v>
      </c>
      <c r="C81" s="62">
        <f>H61</f>
        <v>16994</v>
      </c>
      <c r="H81" s="57" t="s">
        <v>124</v>
      </c>
      <c r="I81" s="48"/>
      <c r="J81" s="48"/>
      <c r="K81" s="48"/>
      <c r="L81" s="48"/>
    </row>
    <row r="82" spans="1:12" s="3" customFormat="1" x14ac:dyDescent="0.2">
      <c r="A82" s="57">
        <v>2</v>
      </c>
      <c r="B82" s="57" t="s">
        <v>110</v>
      </c>
      <c r="C82" s="62">
        <f>D69</f>
        <v>63550</v>
      </c>
      <c r="H82" s="48" t="s">
        <v>125</v>
      </c>
      <c r="I82" s="48"/>
      <c r="J82" s="48" t="s">
        <v>127</v>
      </c>
      <c r="K82" s="48">
        <f>45*30*15</f>
        <v>20250</v>
      </c>
      <c r="L82" s="48" t="s">
        <v>128</v>
      </c>
    </row>
    <row r="83" spans="1:12" s="3" customFormat="1" x14ac:dyDescent="0.2">
      <c r="A83" s="57">
        <v>3</v>
      </c>
      <c r="B83" s="57" t="s">
        <v>115</v>
      </c>
      <c r="C83" s="57">
        <f>D74</f>
        <v>5000</v>
      </c>
      <c r="H83" s="48" t="s">
        <v>126</v>
      </c>
      <c r="I83" s="48"/>
      <c r="J83" s="48" t="s">
        <v>127</v>
      </c>
      <c r="K83" s="48">
        <f>90*60*45</f>
        <v>243000</v>
      </c>
      <c r="L83" s="48" t="s">
        <v>128</v>
      </c>
    </row>
    <row r="84" spans="1:12" s="3" customFormat="1" x14ac:dyDescent="0.2">
      <c r="A84" s="57">
        <v>4</v>
      </c>
      <c r="B84" s="57" t="s">
        <v>142</v>
      </c>
      <c r="C84" s="62">
        <f>K95</f>
        <v>304430.40000000002</v>
      </c>
      <c r="H84" s="48"/>
      <c r="I84" s="48"/>
      <c r="J84" s="48"/>
      <c r="K84" s="48"/>
      <c r="L84" s="48"/>
    </row>
    <row r="85" spans="1:12" s="3" customFormat="1" x14ac:dyDescent="0.2">
      <c r="A85" s="57"/>
      <c r="B85" s="71" t="s">
        <v>143</v>
      </c>
      <c r="C85" s="72">
        <f>SUM(C81:C84)</f>
        <v>389974.4</v>
      </c>
      <c r="D85" s="57" t="s">
        <v>146</v>
      </c>
      <c r="H85" s="57" t="s">
        <v>129</v>
      </c>
      <c r="I85" s="48"/>
      <c r="J85" s="48"/>
      <c r="K85" s="48"/>
      <c r="L85" s="48"/>
    </row>
    <row r="86" spans="1:12" s="3" customFormat="1" x14ac:dyDescent="0.2">
      <c r="A86" s="57">
        <v>5</v>
      </c>
      <c r="B86" s="57" t="s">
        <v>144</v>
      </c>
      <c r="C86" s="62">
        <f>C85*0.1</f>
        <v>38997.440000000002</v>
      </c>
      <c r="H86" s="48"/>
      <c r="I86" s="48"/>
      <c r="J86" s="49" t="s">
        <v>132</v>
      </c>
      <c r="K86" s="57">
        <f>K83/K82</f>
        <v>12</v>
      </c>
      <c r="L86" s="57" t="s">
        <v>130</v>
      </c>
    </row>
    <row r="87" spans="1:12" s="3" customFormat="1" x14ac:dyDescent="0.2">
      <c r="A87" s="57">
        <v>6</v>
      </c>
      <c r="B87" s="57" t="s">
        <v>145</v>
      </c>
      <c r="C87" s="62">
        <f>C85*0.06</f>
        <v>23398.464</v>
      </c>
      <c r="H87" s="48"/>
      <c r="I87" s="48"/>
      <c r="J87" s="48"/>
      <c r="K87" s="48"/>
      <c r="L87" s="48"/>
    </row>
    <row r="88" spans="1:12" s="3" customFormat="1" x14ac:dyDescent="0.2">
      <c r="A88" s="68" t="s">
        <v>147</v>
      </c>
      <c r="B88" s="69"/>
      <c r="C88" s="70">
        <f>SUM(C85:C87)</f>
        <v>452370.304</v>
      </c>
      <c r="D88" s="48" t="s">
        <v>153</v>
      </c>
      <c r="H88" s="57" t="s">
        <v>131</v>
      </c>
      <c r="I88" s="48"/>
      <c r="J88" s="48"/>
      <c r="K88" s="48"/>
      <c r="L88" s="48"/>
    </row>
    <row r="89" spans="1:12" s="3" customFormat="1" x14ac:dyDescent="0.2">
      <c r="H89" s="48" t="s">
        <v>133</v>
      </c>
      <c r="I89" s="48"/>
      <c r="J89" s="48"/>
      <c r="K89" s="57">
        <f>2160/12</f>
        <v>180</v>
      </c>
      <c r="L89" s="57" t="s">
        <v>134</v>
      </c>
    </row>
    <row r="90" spans="1:12" s="3" customFormat="1" x14ac:dyDescent="0.2">
      <c r="H90" s="48"/>
      <c r="I90" s="48"/>
      <c r="J90" s="48"/>
      <c r="K90" s="57">
        <f>K89/30</f>
        <v>6</v>
      </c>
      <c r="L90" s="57" t="s">
        <v>163</v>
      </c>
    </row>
    <row r="91" spans="1:12" s="3" customFormat="1" x14ac:dyDescent="0.2">
      <c r="H91" s="57" t="s">
        <v>116</v>
      </c>
      <c r="I91" s="48"/>
      <c r="J91" s="48"/>
      <c r="K91" s="48"/>
      <c r="L91" s="48"/>
    </row>
    <row r="92" spans="1:12" s="3" customFormat="1" x14ac:dyDescent="0.2">
      <c r="H92" s="48" t="s">
        <v>135</v>
      </c>
      <c r="I92" s="48"/>
      <c r="J92" s="48"/>
      <c r="K92" s="57">
        <f>90*60*45/6000</f>
        <v>40.5</v>
      </c>
      <c r="L92" s="57" t="s">
        <v>136</v>
      </c>
    </row>
    <row r="93" spans="1:12" s="3" customFormat="1" x14ac:dyDescent="0.2">
      <c r="H93" s="48" t="s">
        <v>137</v>
      </c>
      <c r="I93" s="48"/>
      <c r="J93" s="48"/>
      <c r="K93" s="57">
        <f>K92*6</f>
        <v>243</v>
      </c>
      <c r="L93" s="57" t="s">
        <v>138</v>
      </c>
    </row>
    <row r="94" spans="1:12" s="3" customFormat="1" x14ac:dyDescent="0.2">
      <c r="H94" s="48" t="s">
        <v>139</v>
      </c>
      <c r="I94" s="48"/>
      <c r="J94" s="48"/>
      <c r="K94" s="57">
        <f>K93*180</f>
        <v>43740</v>
      </c>
      <c r="L94" s="57" t="s">
        <v>140</v>
      </c>
    </row>
    <row r="95" spans="1:12" s="3" customFormat="1" x14ac:dyDescent="0.2">
      <c r="H95" s="48"/>
      <c r="I95" s="48"/>
      <c r="J95" s="48"/>
      <c r="K95" s="58">
        <f>K94*6.96</f>
        <v>304430.40000000002</v>
      </c>
      <c r="L95" s="59" t="s">
        <v>111</v>
      </c>
    </row>
    <row r="96" spans="1:12" s="3" customFormat="1" x14ac:dyDescent="0.2">
      <c r="A96" s="2" t="s">
        <v>39</v>
      </c>
      <c r="K96" s="65">
        <f>K95/J78</f>
        <v>3.9150000000000005</v>
      </c>
      <c r="L96" s="59" t="s">
        <v>141</v>
      </c>
    </row>
    <row r="97" spans="1:8" s="3" customFormat="1" x14ac:dyDescent="0.2">
      <c r="A97" s="6" t="s">
        <v>36</v>
      </c>
      <c r="B97" s="3" t="s">
        <v>42</v>
      </c>
    </row>
    <row r="98" spans="1:8" s="3" customFormat="1" x14ac:dyDescent="0.2">
      <c r="A98" s="6"/>
    </row>
    <row r="99" spans="1:8" s="3" customFormat="1" x14ac:dyDescent="0.2">
      <c r="A99" s="6"/>
      <c r="B99" s="93" t="s">
        <v>164</v>
      </c>
      <c r="C99" s="93"/>
      <c r="D99" s="93"/>
      <c r="E99" s="94"/>
      <c r="F99" s="64">
        <f>C88/2160</f>
        <v>209.4306962962963</v>
      </c>
      <c r="G99" s="59" t="s">
        <v>148</v>
      </c>
      <c r="H99" s="48" t="s">
        <v>180</v>
      </c>
    </row>
    <row r="100" spans="1:8" s="3" customFormat="1" x14ac:dyDescent="0.2">
      <c r="A100" s="6"/>
    </row>
    <row r="101" spans="1:8" s="3" customFormat="1" x14ac:dyDescent="0.2">
      <c r="A101" s="6" t="s">
        <v>35</v>
      </c>
      <c r="B101" s="3" t="s">
        <v>48</v>
      </c>
    </row>
    <row r="102" spans="1:8" s="3" customFormat="1" x14ac:dyDescent="0.2">
      <c r="A102" s="6"/>
    </row>
    <row r="103" spans="1:8" s="3" customFormat="1" x14ac:dyDescent="0.2">
      <c r="A103" s="6"/>
      <c r="B103" s="75" t="s">
        <v>149</v>
      </c>
      <c r="C103" s="76">
        <f>F99/J77</f>
        <v>5.817519341563786</v>
      </c>
      <c r="D103" s="77" t="s">
        <v>150</v>
      </c>
    </row>
    <row r="104" spans="1:8" s="3" customFormat="1" x14ac:dyDescent="0.2">
      <c r="A104" s="6"/>
      <c r="C104" s="60"/>
    </row>
    <row r="105" spans="1:8" s="3" customFormat="1" x14ac:dyDescent="0.2">
      <c r="A105" s="6" t="s">
        <v>37</v>
      </c>
      <c r="B105" s="3" t="s">
        <v>43</v>
      </c>
    </row>
    <row r="106" spans="1:8" s="3" customFormat="1" x14ac:dyDescent="0.2">
      <c r="A106" s="6"/>
    </row>
    <row r="107" spans="1:8" s="3" customFormat="1" x14ac:dyDescent="0.2">
      <c r="A107" s="6"/>
      <c r="B107" s="75" t="s">
        <v>151</v>
      </c>
      <c r="C107" s="78">
        <f>C103*1.3</f>
        <v>7.5627751440329218</v>
      </c>
      <c r="D107" s="79" t="s">
        <v>150</v>
      </c>
    </row>
    <row r="108" spans="1:8" s="3" customFormat="1" x14ac:dyDescent="0.2">
      <c r="A108" s="6"/>
      <c r="B108" s="75" t="s">
        <v>151</v>
      </c>
      <c r="C108" s="78">
        <f>C107/6.96</f>
        <v>1.0866056241426612</v>
      </c>
      <c r="D108" s="79" t="s">
        <v>138</v>
      </c>
    </row>
    <row r="109" spans="1:8" s="3" customFormat="1" x14ac:dyDescent="0.2">
      <c r="A109" s="6"/>
      <c r="B109" s="75" t="s">
        <v>151</v>
      </c>
      <c r="C109" s="78">
        <f>C107/7.8</f>
        <v>0.96958655692729767</v>
      </c>
      <c r="D109" s="79" t="s">
        <v>152</v>
      </c>
      <c r="E109" s="2" t="s">
        <v>181</v>
      </c>
    </row>
    <row r="110" spans="1:8" s="85" customFormat="1" x14ac:dyDescent="0.2">
      <c r="A110" s="81"/>
      <c r="B110" s="82"/>
      <c r="C110" s="83"/>
      <c r="D110" s="84"/>
    </row>
    <row r="111" spans="1:8" s="85" customFormat="1" x14ac:dyDescent="0.2">
      <c r="A111" s="81"/>
      <c r="B111" s="86" t="s">
        <v>175</v>
      </c>
      <c r="C111" s="83"/>
      <c r="D111" s="84"/>
    </row>
    <row r="112" spans="1:8" s="85" customFormat="1" x14ac:dyDescent="0.2">
      <c r="A112" s="81"/>
      <c r="B112" s="90" t="s">
        <v>176</v>
      </c>
      <c r="C112" s="87"/>
      <c r="D112" s="88"/>
      <c r="E112" s="89"/>
    </row>
    <row r="113" spans="1:9" s="85" customFormat="1" x14ac:dyDescent="0.2">
      <c r="A113" s="81"/>
      <c r="B113" s="90" t="s">
        <v>177</v>
      </c>
      <c r="C113" s="87"/>
      <c r="D113" s="88"/>
      <c r="E113" s="89"/>
    </row>
    <row r="114" spans="1:9" s="85" customFormat="1" x14ac:dyDescent="0.2">
      <c r="A114" s="81"/>
      <c r="B114" s="90" t="s">
        <v>178</v>
      </c>
      <c r="C114" s="87"/>
      <c r="D114" s="88"/>
      <c r="E114" s="89"/>
    </row>
    <row r="115" spans="1:9" s="3" customFormat="1" x14ac:dyDescent="0.2">
      <c r="A115" s="6"/>
      <c r="B115" s="73" t="s">
        <v>182</v>
      </c>
      <c r="C115" s="60"/>
    </row>
    <row r="116" spans="1:9" s="3" customFormat="1" x14ac:dyDescent="0.2">
      <c r="A116" s="6"/>
      <c r="B116" s="74" t="s">
        <v>183</v>
      </c>
      <c r="C116" s="60"/>
    </row>
    <row r="117" spans="1:9" s="3" customFormat="1" x14ac:dyDescent="0.2">
      <c r="A117" s="6"/>
      <c r="B117" s="73" t="s">
        <v>184</v>
      </c>
      <c r="C117" s="60"/>
    </row>
    <row r="118" spans="1:9" s="3" customFormat="1" x14ac:dyDescent="0.2">
      <c r="A118" s="6" t="s">
        <v>47</v>
      </c>
      <c r="B118" s="3" t="s">
        <v>52</v>
      </c>
    </row>
    <row r="119" spans="1:9" s="3" customFormat="1" x14ac:dyDescent="0.2">
      <c r="A119" s="6"/>
    </row>
    <row r="120" spans="1:9" s="3" customFormat="1" x14ac:dyDescent="0.2">
      <c r="A120" s="6"/>
      <c r="B120" s="48" t="s">
        <v>154</v>
      </c>
      <c r="C120" s="48"/>
      <c r="D120" s="48"/>
      <c r="E120" s="48"/>
    </row>
    <row r="121" spans="1:9" s="3" customFormat="1" x14ac:dyDescent="0.2">
      <c r="A121" s="6"/>
      <c r="B121" s="66" t="s">
        <v>155</v>
      </c>
      <c r="C121" s="61">
        <f>C107*J78</f>
        <v>588081.39520000003</v>
      </c>
      <c r="D121" s="57" t="s">
        <v>148</v>
      </c>
      <c r="E121" s="48"/>
    </row>
    <row r="122" spans="1:9" s="3" customFormat="1" x14ac:dyDescent="0.2">
      <c r="A122" s="6"/>
      <c r="B122" s="73" t="s">
        <v>156</v>
      </c>
    </row>
    <row r="123" spans="1:9" s="3" customFormat="1" x14ac:dyDescent="0.2">
      <c r="A123" s="6"/>
      <c r="B123" s="66" t="s">
        <v>157</v>
      </c>
      <c r="C123" s="62">
        <f>C85</f>
        <v>389974.4</v>
      </c>
      <c r="D123" s="57" t="s">
        <v>148</v>
      </c>
    </row>
    <row r="124" spans="1:9" s="3" customFormat="1" x14ac:dyDescent="0.2">
      <c r="A124" s="49"/>
      <c r="B124" s="66"/>
      <c r="C124" s="62"/>
      <c r="D124" s="48"/>
      <c r="E124" s="48"/>
      <c r="F124" s="48"/>
      <c r="G124" s="48"/>
    </row>
    <row r="125" spans="1:9" s="3" customFormat="1" x14ac:dyDescent="0.2">
      <c r="A125" s="49"/>
      <c r="B125" s="73" t="s">
        <v>158</v>
      </c>
      <c r="C125" s="62"/>
      <c r="D125" s="48"/>
      <c r="E125" s="48"/>
      <c r="F125" s="48"/>
      <c r="G125" s="48"/>
    </row>
    <row r="126" spans="1:9" s="3" customFormat="1" x14ac:dyDescent="0.2">
      <c r="A126" s="49"/>
      <c r="B126" s="66" t="s">
        <v>159</v>
      </c>
      <c r="C126" s="62">
        <f>C121-C123</f>
        <v>198106.9952</v>
      </c>
      <c r="D126" s="57" t="s">
        <v>150</v>
      </c>
      <c r="E126" s="57" t="s">
        <v>160</v>
      </c>
      <c r="F126" s="57">
        <f>C126/C123*100</f>
        <v>50.8</v>
      </c>
      <c r="G126" s="57" t="s">
        <v>161</v>
      </c>
    </row>
    <row r="127" spans="1:9" s="3" customFormat="1" x14ac:dyDescent="0.2">
      <c r="A127" s="49"/>
      <c r="B127" s="48"/>
      <c r="C127" s="48"/>
      <c r="D127" s="48"/>
      <c r="E127" s="48"/>
      <c r="F127" s="48"/>
      <c r="G127" s="48"/>
    </row>
    <row r="128" spans="1:9" s="3" customFormat="1" ht="27" customHeight="1" x14ac:dyDescent="0.2">
      <c r="A128" s="100" t="s">
        <v>162</v>
      </c>
      <c r="B128" s="95"/>
      <c r="C128" s="95"/>
      <c r="D128" s="95"/>
      <c r="E128" s="95"/>
      <c r="F128" s="95"/>
      <c r="G128" s="95"/>
      <c r="H128" s="95"/>
      <c r="I128" s="22"/>
    </row>
    <row r="129" spans="1:5" s="3" customFormat="1" x14ac:dyDescent="0.2"/>
    <row r="130" spans="1:5" s="3" customFormat="1" x14ac:dyDescent="0.2">
      <c r="B130" s="57" t="s">
        <v>165</v>
      </c>
      <c r="C130" s="48" t="s">
        <v>166</v>
      </c>
      <c r="D130" s="48"/>
      <c r="E130" s="48"/>
    </row>
    <row r="131" spans="1:5" s="3" customFormat="1" x14ac:dyDescent="0.2">
      <c r="B131" s="80"/>
      <c r="C131" s="48" t="s">
        <v>167</v>
      </c>
      <c r="D131" s="48"/>
      <c r="E131" s="48"/>
    </row>
    <row r="132" spans="1:5" s="3" customFormat="1" x14ac:dyDescent="0.2">
      <c r="B132" s="48"/>
      <c r="C132" s="48"/>
      <c r="D132" s="48"/>
      <c r="E132" s="48"/>
    </row>
    <row r="133" spans="1:5" s="3" customFormat="1" x14ac:dyDescent="0.2">
      <c r="B133" s="48"/>
      <c r="C133" s="49" t="s">
        <v>168</v>
      </c>
      <c r="D133" s="67">
        <f>C103</f>
        <v>5.817519341563786</v>
      </c>
      <c r="E133" s="48" t="s">
        <v>174</v>
      </c>
    </row>
    <row r="134" spans="1:5" s="3" customFormat="1" x14ac:dyDescent="0.2">
      <c r="B134" s="48"/>
      <c r="C134" s="48" t="s">
        <v>169</v>
      </c>
      <c r="D134" s="48"/>
      <c r="E134" s="48"/>
    </row>
    <row r="135" spans="1:5" s="3" customFormat="1" x14ac:dyDescent="0.2">
      <c r="B135" s="48"/>
      <c r="C135" s="49" t="s">
        <v>170</v>
      </c>
      <c r="D135" s="48">
        <f>J78*5</f>
        <v>388800</v>
      </c>
      <c r="E135" s="48"/>
    </row>
    <row r="136" spans="1:5" s="3" customFormat="1" x14ac:dyDescent="0.2">
      <c r="B136" s="48"/>
      <c r="C136" s="73" t="s">
        <v>171</v>
      </c>
      <c r="D136" s="48">
        <f>LOG(0.95)/LOG(2)</f>
        <v>-7.4000581443776914E-2</v>
      </c>
      <c r="E136" s="48"/>
    </row>
    <row r="137" spans="1:5" s="3" customFormat="1" x14ac:dyDescent="0.2">
      <c r="B137" s="48"/>
      <c r="C137" s="48"/>
      <c r="D137" s="48"/>
      <c r="E137" s="48"/>
    </row>
    <row r="138" spans="1:5" s="3" customFormat="1" x14ac:dyDescent="0.2">
      <c r="B138" s="48"/>
      <c r="C138" s="49" t="s">
        <v>172</v>
      </c>
      <c r="D138" s="67">
        <f>D133*(D135)^-0.07400581</f>
        <v>2.2442209725481237</v>
      </c>
      <c r="E138" s="48"/>
    </row>
    <row r="139" spans="1:5" s="3" customFormat="1" x14ac:dyDescent="0.2"/>
    <row r="140" spans="1:5" s="3" customFormat="1" x14ac:dyDescent="0.2">
      <c r="B140" s="97" t="s">
        <v>173</v>
      </c>
      <c r="C140" s="98"/>
      <c r="D140" s="98"/>
      <c r="E140" s="99"/>
    </row>
    <row r="141" spans="1:5" s="3" customFormat="1" x14ac:dyDescent="0.2"/>
    <row r="142" spans="1:5" s="3" customFormat="1" x14ac:dyDescent="0.2"/>
    <row r="143" spans="1:5" s="3" customFormat="1" x14ac:dyDescent="0.2">
      <c r="A143" s="2" t="s">
        <v>185</v>
      </c>
    </row>
    <row r="144" spans="1:5" s="3" customFormat="1" x14ac:dyDescent="0.2"/>
    <row r="145" s="3" customFormat="1" x14ac:dyDescent="0.2"/>
  </sheetData>
  <mergeCells count="10">
    <mergeCell ref="B140:E140"/>
    <mergeCell ref="B72:H72"/>
    <mergeCell ref="A128:H128"/>
    <mergeCell ref="B69:C69"/>
    <mergeCell ref="B99:E99"/>
    <mergeCell ref="A4:H4"/>
    <mergeCell ref="A11:H11"/>
    <mergeCell ref="A17:H17"/>
    <mergeCell ref="A7:H7"/>
    <mergeCell ref="F61:G61"/>
  </mergeCells>
  <phoneticPr fontId="0" type="noConversion"/>
  <pageMargins left="0.43" right="0.75" top="0.33" bottom="0.43" header="0.28000000000000003"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K20" sqref="K20"/>
    </sheetView>
  </sheetViews>
  <sheetFormatPr baseColWidth="10" defaultRowHeight="12.75" x14ac:dyDescent="0.2"/>
  <cols>
    <col min="2" max="2" width="5.140625" bestFit="1" customWidth="1"/>
    <col min="3" max="3" width="29.42578125" customWidth="1"/>
    <col min="4" max="4" width="8.7109375" customWidth="1"/>
    <col min="5" max="5" width="7.85546875" customWidth="1"/>
    <col min="6" max="6" width="7.42578125" customWidth="1"/>
    <col min="7" max="7" width="13.5703125" customWidth="1"/>
  </cols>
  <sheetData>
    <row r="1" spans="1:8" x14ac:dyDescent="0.2">
      <c r="A1" s="101" t="s">
        <v>100</v>
      </c>
      <c r="B1" s="101"/>
      <c r="C1" s="101"/>
      <c r="D1" s="101"/>
      <c r="E1" s="101"/>
      <c r="F1" s="101"/>
      <c r="G1" s="101"/>
      <c r="H1" s="101"/>
    </row>
    <row r="2" spans="1:8" x14ac:dyDescent="0.2">
      <c r="A2" s="37" t="s">
        <v>101</v>
      </c>
    </row>
    <row r="4" spans="1:8" ht="13.5" thickBot="1" x14ac:dyDescent="0.25">
      <c r="A4" t="s">
        <v>87</v>
      </c>
    </row>
    <row r="5" spans="1:8" s="23" customFormat="1" ht="39" thickBot="1" x14ac:dyDescent="0.25">
      <c r="B5" s="26" t="s">
        <v>54</v>
      </c>
      <c r="C5" s="27" t="s">
        <v>55</v>
      </c>
      <c r="D5" s="28" t="s">
        <v>56</v>
      </c>
      <c r="E5" s="28" t="s">
        <v>57</v>
      </c>
      <c r="F5" s="28" t="s">
        <v>83</v>
      </c>
      <c r="G5" s="29" t="s">
        <v>84</v>
      </c>
    </row>
    <row r="6" spans="1:8" x14ac:dyDescent="0.2">
      <c r="B6" s="25">
        <v>1</v>
      </c>
      <c r="C6" s="25" t="s">
        <v>58</v>
      </c>
      <c r="D6" s="25">
        <v>5</v>
      </c>
      <c r="E6" s="25">
        <v>2</v>
      </c>
      <c r="F6" s="25"/>
      <c r="G6" s="25"/>
    </row>
    <row r="7" spans="1:8" x14ac:dyDescent="0.2">
      <c r="B7" s="24">
        <v>2</v>
      </c>
      <c r="C7" s="24" t="s">
        <v>59</v>
      </c>
      <c r="D7" s="24">
        <v>0.25</v>
      </c>
      <c r="E7" s="24">
        <v>0.3</v>
      </c>
      <c r="F7" s="24"/>
      <c r="G7" s="24"/>
    </row>
    <row r="8" spans="1:8" x14ac:dyDescent="0.2">
      <c r="B8" s="24">
        <v>3</v>
      </c>
      <c r="C8" s="24" t="s">
        <v>60</v>
      </c>
      <c r="D8" s="24">
        <v>4</v>
      </c>
      <c r="E8" s="24">
        <v>6</v>
      </c>
      <c r="F8" s="24"/>
      <c r="G8" s="24"/>
    </row>
    <row r="9" spans="1:8" x14ac:dyDescent="0.2">
      <c r="B9" s="24">
        <v>4</v>
      </c>
      <c r="C9" s="24" t="s">
        <v>62</v>
      </c>
      <c r="D9" s="24">
        <v>3</v>
      </c>
      <c r="E9" s="24">
        <v>1.5</v>
      </c>
      <c r="F9" s="24"/>
      <c r="G9" s="24"/>
    </row>
    <row r="10" spans="1:8" x14ac:dyDescent="0.2">
      <c r="B10" s="24">
        <v>5</v>
      </c>
      <c r="C10" s="24" t="s">
        <v>61</v>
      </c>
      <c r="D10" s="24">
        <v>3</v>
      </c>
      <c r="E10" s="24">
        <v>5</v>
      </c>
      <c r="F10" s="24"/>
      <c r="G10" s="24"/>
    </row>
    <row r="11" spans="1:8" x14ac:dyDescent="0.2">
      <c r="B11" s="24">
        <v>6</v>
      </c>
      <c r="C11" s="24" t="s">
        <v>63</v>
      </c>
      <c r="D11" s="24">
        <v>5</v>
      </c>
      <c r="E11" s="24">
        <v>5</v>
      </c>
      <c r="F11" s="24"/>
      <c r="G11" s="24"/>
    </row>
    <row r="12" spans="1:8" x14ac:dyDescent="0.2">
      <c r="B12" s="24">
        <v>7</v>
      </c>
      <c r="C12" s="24" t="s">
        <v>79</v>
      </c>
      <c r="D12" s="24">
        <v>2</v>
      </c>
      <c r="E12" s="24">
        <v>1.2</v>
      </c>
      <c r="F12" s="24"/>
      <c r="G12" s="24"/>
    </row>
    <row r="13" spans="1:8" x14ac:dyDescent="0.2">
      <c r="B13" s="24">
        <v>8</v>
      </c>
      <c r="C13" s="24" t="s">
        <v>64</v>
      </c>
      <c r="D13" s="24">
        <v>6</v>
      </c>
      <c r="E13" s="24">
        <v>9</v>
      </c>
      <c r="F13" s="24"/>
      <c r="G13" s="24"/>
    </row>
    <row r="14" spans="1:8" x14ac:dyDescent="0.2">
      <c r="B14" s="24">
        <v>9</v>
      </c>
      <c r="C14" s="24" t="s">
        <v>65</v>
      </c>
      <c r="D14" s="24">
        <v>0.45</v>
      </c>
      <c r="E14" s="24">
        <v>0.3</v>
      </c>
      <c r="F14" s="24"/>
      <c r="G14" s="24"/>
    </row>
    <row r="15" spans="1:8" x14ac:dyDescent="0.2">
      <c r="B15" s="24">
        <v>10</v>
      </c>
      <c r="C15" s="24" t="s">
        <v>66</v>
      </c>
      <c r="D15" s="24">
        <v>0.5</v>
      </c>
      <c r="E15" s="24">
        <v>1</v>
      </c>
      <c r="F15" s="24"/>
      <c r="G15" s="24"/>
    </row>
    <row r="16" spans="1:8" x14ac:dyDescent="0.2">
      <c r="B16" s="24">
        <v>11</v>
      </c>
      <c r="C16" s="24" t="s">
        <v>81</v>
      </c>
      <c r="D16" s="24">
        <v>3</v>
      </c>
      <c r="E16" s="24">
        <v>6</v>
      </c>
      <c r="F16" s="24"/>
      <c r="G16" s="24"/>
    </row>
    <row r="17" spans="2:7" x14ac:dyDescent="0.2">
      <c r="B17" s="24">
        <v>12</v>
      </c>
      <c r="C17" s="24" t="s">
        <v>67</v>
      </c>
      <c r="D17" s="24">
        <v>1</v>
      </c>
      <c r="E17" s="24">
        <v>0.6</v>
      </c>
      <c r="F17" s="24"/>
      <c r="G17" s="24"/>
    </row>
    <row r="18" spans="2:7" x14ac:dyDescent="0.2">
      <c r="B18" s="24">
        <v>13</v>
      </c>
      <c r="C18" s="24" t="s">
        <v>82</v>
      </c>
      <c r="D18" s="24">
        <v>2.5</v>
      </c>
      <c r="E18" s="24">
        <v>5</v>
      </c>
      <c r="F18" s="24"/>
      <c r="G18" s="24"/>
    </row>
    <row r="19" spans="2:7" x14ac:dyDescent="0.2">
      <c r="B19" s="24">
        <v>14</v>
      </c>
      <c r="C19" s="24" t="s">
        <v>68</v>
      </c>
      <c r="D19" s="24">
        <v>2</v>
      </c>
      <c r="E19" s="24">
        <v>2.5</v>
      </c>
      <c r="F19" s="24"/>
      <c r="G19" s="24"/>
    </row>
    <row r="20" spans="2:7" x14ac:dyDescent="0.2">
      <c r="B20" s="24">
        <v>15</v>
      </c>
      <c r="C20" s="24" t="s">
        <v>69</v>
      </c>
      <c r="D20" s="24">
        <v>1.5</v>
      </c>
      <c r="E20" s="24">
        <v>1.4</v>
      </c>
      <c r="F20" s="24"/>
      <c r="G20" s="24"/>
    </row>
    <row r="21" spans="2:7" x14ac:dyDescent="0.2">
      <c r="B21" s="24">
        <v>16</v>
      </c>
      <c r="C21" s="24" t="s">
        <v>70</v>
      </c>
      <c r="D21" s="24">
        <v>2</v>
      </c>
      <c r="E21" s="24">
        <v>5</v>
      </c>
      <c r="F21" s="24"/>
      <c r="G21" s="24"/>
    </row>
    <row r="22" spans="2:7" x14ac:dyDescent="0.2">
      <c r="B22" s="24">
        <v>17</v>
      </c>
      <c r="C22" s="24" t="s">
        <v>71</v>
      </c>
      <c r="D22" s="24">
        <v>3.6</v>
      </c>
      <c r="E22" s="24">
        <v>6</v>
      </c>
      <c r="F22" s="24"/>
      <c r="G22" s="24"/>
    </row>
    <row r="23" spans="2:7" x14ac:dyDescent="0.2">
      <c r="B23" s="24">
        <v>18</v>
      </c>
      <c r="C23" s="24" t="s">
        <v>72</v>
      </c>
      <c r="D23" s="24">
        <v>4.5</v>
      </c>
      <c r="E23" s="24">
        <v>5</v>
      </c>
      <c r="F23" s="24"/>
      <c r="G23" s="24"/>
    </row>
    <row r="24" spans="2:7" x14ac:dyDescent="0.2">
      <c r="B24" s="24">
        <v>19</v>
      </c>
      <c r="C24" s="24" t="s">
        <v>73</v>
      </c>
      <c r="D24" s="24">
        <v>3</v>
      </c>
      <c r="E24" s="24">
        <v>5</v>
      </c>
      <c r="F24" s="24"/>
      <c r="G24" s="24"/>
    </row>
    <row r="25" spans="2:7" x14ac:dyDescent="0.2">
      <c r="B25" s="24">
        <v>20</v>
      </c>
      <c r="C25" s="24" t="s">
        <v>80</v>
      </c>
      <c r="D25" s="24">
        <v>3</v>
      </c>
      <c r="E25" s="24">
        <v>2</v>
      </c>
      <c r="F25" s="24"/>
      <c r="G25" s="24"/>
    </row>
    <row r="26" spans="2:7" x14ac:dyDescent="0.2">
      <c r="B26" s="24">
        <v>21</v>
      </c>
      <c r="C26" s="24" t="s">
        <v>74</v>
      </c>
      <c r="D26" s="24">
        <v>2</v>
      </c>
      <c r="E26" s="24">
        <v>6</v>
      </c>
      <c r="F26" s="24"/>
      <c r="G26" s="24"/>
    </row>
    <row r="27" spans="2:7" x14ac:dyDescent="0.2">
      <c r="B27" s="24">
        <v>22</v>
      </c>
      <c r="C27" s="24" t="s">
        <v>75</v>
      </c>
      <c r="D27" s="24">
        <v>9</v>
      </c>
      <c r="E27" s="24">
        <v>10</v>
      </c>
      <c r="F27" s="24"/>
      <c r="G27" s="24"/>
    </row>
    <row r="28" spans="2:7" x14ac:dyDescent="0.2">
      <c r="B28" s="24">
        <v>23</v>
      </c>
      <c r="C28" s="24" t="s">
        <v>76</v>
      </c>
      <c r="D28" s="24">
        <v>2</v>
      </c>
      <c r="E28" s="24">
        <v>1</v>
      </c>
      <c r="F28" s="24"/>
      <c r="G28" s="24"/>
    </row>
    <row r="29" spans="2:7" x14ac:dyDescent="0.2">
      <c r="B29" s="24">
        <v>24</v>
      </c>
      <c r="C29" s="24" t="s">
        <v>77</v>
      </c>
      <c r="D29" s="24">
        <v>0.8</v>
      </c>
      <c r="E29" s="24">
        <v>0.5</v>
      </c>
      <c r="F29" s="24"/>
      <c r="G29" s="24"/>
    </row>
    <row r="30" spans="2:7" ht="13.5" thickBot="1" x14ac:dyDescent="0.25">
      <c r="B30" s="24">
        <v>25</v>
      </c>
      <c r="C30" s="30" t="s">
        <v>78</v>
      </c>
      <c r="D30" s="30">
        <v>2.5</v>
      </c>
      <c r="E30" s="30">
        <v>2</v>
      </c>
      <c r="F30" s="24"/>
      <c r="G30" s="24"/>
    </row>
    <row r="31" spans="2:7" x14ac:dyDescent="0.2">
      <c r="C31" s="35" t="s">
        <v>85</v>
      </c>
      <c r="D31" s="33">
        <f>SUM(D6:D30)</f>
        <v>71.600000000000009</v>
      </c>
      <c r="E31" s="31">
        <f>SUM(E6:E30)</f>
        <v>89.3</v>
      </c>
    </row>
    <row r="32" spans="2:7" ht="13.5" thickBot="1" x14ac:dyDescent="0.25">
      <c r="C32" s="36" t="s">
        <v>86</v>
      </c>
      <c r="D32" s="34">
        <f>D31/24</f>
        <v>2.9833333333333338</v>
      </c>
      <c r="E32" s="32">
        <f>E31/24</f>
        <v>3.7208333333333332</v>
      </c>
    </row>
    <row r="34" spans="1:1" x14ac:dyDescent="0.2">
      <c r="A34" t="s">
        <v>96</v>
      </c>
    </row>
    <row r="35" spans="1:1" x14ac:dyDescent="0.2">
      <c r="A35" t="s">
        <v>88</v>
      </c>
    </row>
    <row r="36" spans="1:1" x14ac:dyDescent="0.2">
      <c r="A36" t="s">
        <v>98</v>
      </c>
    </row>
    <row r="37" spans="1:1" x14ac:dyDescent="0.2">
      <c r="A37" t="s">
        <v>89</v>
      </c>
    </row>
    <row r="38" spans="1:1" x14ac:dyDescent="0.2">
      <c r="A38" t="s">
        <v>90</v>
      </c>
    </row>
    <row r="39" spans="1:1" x14ac:dyDescent="0.2">
      <c r="A39" t="s">
        <v>97</v>
      </c>
    </row>
    <row r="41" spans="1:1" x14ac:dyDescent="0.2">
      <c r="A41" s="37" t="s">
        <v>99</v>
      </c>
    </row>
    <row r="42" spans="1:1" x14ac:dyDescent="0.2">
      <c r="A42" t="s">
        <v>91</v>
      </c>
    </row>
    <row r="43" spans="1:1" x14ac:dyDescent="0.2">
      <c r="A43" t="s">
        <v>92</v>
      </c>
    </row>
    <row r="44" spans="1:1" x14ac:dyDescent="0.2">
      <c r="A44" t="s">
        <v>93</v>
      </c>
    </row>
    <row r="45" spans="1:1" x14ac:dyDescent="0.2">
      <c r="A45" t="s">
        <v>94</v>
      </c>
    </row>
    <row r="46" spans="1:1" x14ac:dyDescent="0.2">
      <c r="A46" t="s">
        <v>102</v>
      </c>
    </row>
    <row r="47" spans="1:1" x14ac:dyDescent="0.2">
      <c r="A47" t="s">
        <v>95</v>
      </c>
    </row>
  </sheetData>
  <mergeCells count="1">
    <mergeCell ref="A1:H1"/>
  </mergeCells>
  <phoneticPr fontId="0" type="noConversion"/>
  <pageMargins left="0.53" right="0.75" top="0.35"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Empresa Ferroviaria Andina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Oviedo B.</dc:creator>
  <cp:lastModifiedBy>Ing Oviedo</cp:lastModifiedBy>
  <cp:lastPrinted>2012-12-08T15:15:58Z</cp:lastPrinted>
  <dcterms:created xsi:type="dcterms:W3CDTF">2012-11-30T18:27:57Z</dcterms:created>
  <dcterms:modified xsi:type="dcterms:W3CDTF">2016-11-21T12:16:18Z</dcterms:modified>
</cp:coreProperties>
</file>