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20" yWindow="105" windowWidth="15180" windowHeight="8835"/>
  </bookViews>
  <sheets>
    <sheet name="Hoja1" sheetId="1" r:id="rId1"/>
    <sheet name="Hoja2" sheetId="2" r:id="rId2"/>
    <sheet name="Hoja3" sheetId="3" r:id="rId3"/>
  </sheets>
  <calcPr calcId="125725"/>
</workbook>
</file>

<file path=xl/calcChain.xml><?xml version="1.0" encoding="utf-8"?>
<calcChain xmlns="http://schemas.openxmlformats.org/spreadsheetml/2006/main">
  <c r="D136" i="1"/>
  <c r="D135"/>
  <c r="K92"/>
  <c r="K89"/>
  <c r="K90" s="1"/>
  <c r="K83"/>
  <c r="K82"/>
  <c r="J77"/>
  <c r="J78" s="1"/>
  <c r="J79" s="1"/>
  <c r="D74"/>
  <c r="C83" s="1"/>
  <c r="D67"/>
  <c r="D68"/>
  <c r="D66"/>
  <c r="D65"/>
  <c r="F56"/>
  <c r="G56" s="1"/>
  <c r="H56" s="1"/>
  <c r="F57"/>
  <c r="G57" s="1"/>
  <c r="H57" s="1"/>
  <c r="F58"/>
  <c r="G58" s="1"/>
  <c r="H58" s="1"/>
  <c r="F59"/>
  <c r="G59" s="1"/>
  <c r="H59" s="1"/>
  <c r="F60"/>
  <c r="G60" s="1"/>
  <c r="H60" s="1"/>
  <c r="F55"/>
  <c r="G55" s="1"/>
  <c r="H55" s="1"/>
  <c r="K93" l="1"/>
  <c r="K94" s="1"/>
  <c r="K95" s="1"/>
  <c r="K86"/>
  <c r="D69"/>
  <c r="C82" s="1"/>
  <c r="H61"/>
  <c r="C81" s="1"/>
  <c r="D31" i="2"/>
  <c r="D32" s="1"/>
  <c r="E31"/>
  <c r="E32" s="1"/>
  <c r="C84" i="1" l="1"/>
  <c r="C85" s="1"/>
  <c r="C123" s="1"/>
  <c r="K96"/>
  <c r="C86" l="1"/>
  <c r="C87"/>
  <c r="C88" l="1"/>
  <c r="F99" l="1"/>
  <c r="C103" s="1"/>
  <c r="C107" l="1"/>
  <c r="D133"/>
  <c r="D138" s="1"/>
  <c r="C121" l="1"/>
  <c r="C126" s="1"/>
  <c r="F126" s="1"/>
  <c r="C108"/>
  <c r="C109"/>
</calcChain>
</file>

<file path=xl/sharedStrings.xml><?xml version="1.0" encoding="utf-8"?>
<sst xmlns="http://schemas.openxmlformats.org/spreadsheetml/2006/main" count="203" uniqueCount="190">
  <si>
    <t xml:space="preserve"> - Entrega en el aeropuerto de Munich en Alemania </t>
  </si>
  <si>
    <t>Se ha consolidado la apertura de un mercado importante para la producción de rosas (flores) para el mercado europeo. Los productores en la localidad de Tiquipaya, Cochabamba pactan las siguientes condiciones de satisfacción para el negocio:</t>
  </si>
  <si>
    <t xml:space="preserve"> - Cada gruesa se empaca en una caja de cartón de: Largo = 45 cm; Ancho = 30 cm y Alto = 15 cm. </t>
  </si>
  <si>
    <t xml:space="preserve"> - La fórmula que se aplica para el costo del transporte aéreo desde Cbba. hasta Munich es:</t>
  </si>
  <si>
    <t>(medidas del contenedor en cm)/6000 = Kg.</t>
  </si>
  <si>
    <t>El precio de transporte por cada KG = 7 US$/kg.</t>
  </si>
  <si>
    <t xml:space="preserve"> - Hay vuelos diarios entre Sao Paulo - Munich por Lufthansa a hrs. 22,00 </t>
  </si>
  <si>
    <t>COSTOS:</t>
  </si>
  <si>
    <t>item</t>
  </si>
  <si>
    <t>vida útil (años)</t>
  </si>
  <si>
    <t>depreciación anual US$</t>
  </si>
  <si>
    <t xml:space="preserve">detalle </t>
  </si>
  <si>
    <t>costo US$</t>
  </si>
  <si>
    <t xml:space="preserve"> - Se firma un acuerdo comercial para la provisión de rosas por tres años que es IGUAL A LA VIDA ÚTIL POR LA INVERSIÓN.</t>
  </si>
  <si>
    <t>valor residual us$</t>
  </si>
  <si>
    <t>valor de reposición US$</t>
  </si>
  <si>
    <t>depreciación mensual Bs. (Tc 6,96)</t>
  </si>
  <si>
    <t>Viveros y carpas solares</t>
  </si>
  <si>
    <t>Laboratorio de control cal.</t>
  </si>
  <si>
    <t>Investigación e inseminación</t>
  </si>
  <si>
    <t>Equipos de riego</t>
  </si>
  <si>
    <t>Software; PCs; Oficinas</t>
  </si>
  <si>
    <t>Camioneta</t>
  </si>
  <si>
    <t>detalle</t>
  </si>
  <si>
    <t>Contratación de 10 operarios con sueldo 1800 Bs/mes</t>
  </si>
  <si>
    <t>costo total Bs/mes</t>
  </si>
  <si>
    <t>Costo empresa Bs/mes</t>
  </si>
  <si>
    <t>1 Ingeniero Agrónomo c/experiencia</t>
  </si>
  <si>
    <t>1 Ingeniero comercial Jr.</t>
  </si>
  <si>
    <t>2 Personal administrativo sueldo 2500 Bs/mes</t>
  </si>
  <si>
    <t xml:space="preserve">3.- GASTOS DE PRODUCCIÓN: </t>
  </si>
  <si>
    <t>Los gastos de producción que toma en cuenta: semillas; riego; servicios básicos como agua, luz, comunicación, combustibles etc. globaliza un MONTO MENSUAL  = 60.000 Bs/mes.</t>
  </si>
  <si>
    <r>
      <t xml:space="preserve">2.- GASTOS OPERATIVOS: </t>
    </r>
    <r>
      <rPr>
        <sz val="10"/>
        <rFont val="Arial Narrow"/>
        <family val="2"/>
      </rPr>
      <t>Para implementar este proyecto se requiere de los siguientes gastos adicionales:</t>
    </r>
  </si>
  <si>
    <r>
      <t>1.- INVERSIONES:</t>
    </r>
    <r>
      <rPr>
        <sz val="10"/>
        <rFont val="Arial Narrow"/>
        <family val="2"/>
      </rPr>
      <t xml:space="preserve"> Para atender SOLAMENTE ESTE CONTRATO se efectúan las siguientes inversiones:</t>
    </r>
  </si>
  <si>
    <t>4.- GASTOS ADMINISTRATIVOS Y TASAS:</t>
  </si>
  <si>
    <t>2.-</t>
  </si>
  <si>
    <t>1.-</t>
  </si>
  <si>
    <t>3.-</t>
  </si>
  <si>
    <t>PREGUNTAS PARTE A:</t>
  </si>
  <si>
    <t>PREGUNTAS PARTE B:</t>
  </si>
  <si>
    <t xml:space="preserve"> - La cantidad mensual que deben atender es de 2160 gruesas de flores: la gruesa contiene 3 docenas de rosas. Y solo se envían 6 meses de Nov. A Abril</t>
  </si>
  <si>
    <t>1.- Elabore el flujo aproximado de los procesos desde la cosecha hasta la entrega en el aeropuerto de Munich. Cuantas horas en total?. (10 PUNTOS)</t>
  </si>
  <si>
    <t>Cuál es el COSTO DE PRODUCCION DE UNA GRUESA PUESTO EN AEROPUERTO DE MUNICH - ALEMANIA?. (15 PUNTOS)</t>
  </si>
  <si>
    <t>Si mi utilidad asumo en un 30%, cuál será el precio de venta en el mercado europeo? (sin considerar los costos de diStribución). (10 PUNTOS)</t>
  </si>
  <si>
    <t xml:space="preserve"> - Asuma con aproximación los tiempos de demora en todo el proceso, desde la poda, selección, clasificación control de calidad, documentos  empaque en el contenedor refrigerado, transporte etc.</t>
  </si>
  <si>
    <t xml:space="preserve"> - Los gastos administrativos se consolidan en un 10% del gasto mensual (suma de ítems 1+2+3+costo transporte))</t>
  </si>
  <si>
    <t xml:space="preserve"> - Los gastos por tasas e impuestos globalizan un 6% del gasto mensual (suma de ítems 1+2+3+4+costo transporte)</t>
  </si>
  <si>
    <t>4.-</t>
  </si>
  <si>
    <t>Cuál es el costo de producción de 1 rosa en el aeropuerto de Munich?. (10 PUNTOS)</t>
  </si>
  <si>
    <t>2.- Elabore el Flujograma para todo el proceso. (10 PUNTOS)</t>
  </si>
  <si>
    <t>4.- Cuantos contenedores se debe enviar diariamente y cual es la cantidad de rosas a cosechar los 6 meses?. (10 PUNTOS)</t>
  </si>
  <si>
    <t>3.- De la pregunta 2 identifique los procesos vitales, sabiendo que la variable crítica es el tiempo. (10 PUNTOS)</t>
  </si>
  <si>
    <t>Cual es la Utlidad o margen operativo mensual? (Precio de venta con utilidad - Gastos totales) (15 PUNTOS)</t>
  </si>
  <si>
    <t xml:space="preserve"> - Tiempos de transporte vía aérea: Cbba-Sta. Cruz = 1Hora; Sta. Cruz - Sao Paulo = 4 Horas, Sao Paulo - Munich = 12 Horas. </t>
  </si>
  <si>
    <t xml:space="preserve">nro. </t>
  </si>
  <si>
    <t>proceso</t>
  </si>
  <si>
    <t>tiempo planif. (hrs.)</t>
  </si>
  <si>
    <t>tiempo real (hrs.)</t>
  </si>
  <si>
    <t>poda de las flores</t>
  </si>
  <si>
    <t>transporte al almacén</t>
  </si>
  <si>
    <t>almacenaje</t>
  </si>
  <si>
    <t>selección de tamaños</t>
  </si>
  <si>
    <t>deshojado</t>
  </si>
  <si>
    <t>control de calidad</t>
  </si>
  <si>
    <t>empaque</t>
  </si>
  <si>
    <t>sello al vacío</t>
  </si>
  <si>
    <t>etiquetado</t>
  </si>
  <si>
    <t>Transp. Vivero - aerop. Cbba.</t>
  </si>
  <si>
    <t>acomodación en contenedores</t>
  </si>
  <si>
    <t>transp. Cbba. -sta. Cruz</t>
  </si>
  <si>
    <t>transbordo carga en sta. Cruz</t>
  </si>
  <si>
    <t>documentos aduana, tif/fta,sensag</t>
  </si>
  <si>
    <t>transp. Sta cruz - sao paulo</t>
  </si>
  <si>
    <t>transbordo carga en sao paulo</t>
  </si>
  <si>
    <t>documentos de exportación</t>
  </si>
  <si>
    <t>transporte sao paulo - munich</t>
  </si>
  <si>
    <t>descarga en aerop. Munich</t>
  </si>
  <si>
    <t>entrega en bodegas de aduana</t>
  </si>
  <si>
    <t>entrega al cliente.</t>
  </si>
  <si>
    <t>armado de las gruesas</t>
  </si>
  <si>
    <t>control fitosanitario en SP</t>
  </si>
  <si>
    <t>control de todos los documentos</t>
  </si>
  <si>
    <t>control de documentos en aerop.</t>
  </si>
  <si>
    <t>dif. Real - planif.</t>
  </si>
  <si>
    <t>Obsrervac.</t>
  </si>
  <si>
    <t>tiempo total en hrs.</t>
  </si>
  <si>
    <t>tiempo en días</t>
  </si>
  <si>
    <t>En la exportación de flores se ha controlado los tiempos planificados y reales y se ha obtenido el siguiente cuadro:</t>
  </si>
  <si>
    <t>2.- Analice con la espina de pez cualquiera de las causas vitales que sean controlables; y elabore la matríz imple-</t>
  </si>
  <si>
    <t xml:space="preserve">3.- Si se producen en total 3.600.000 flores, y el costo de la primera docena en el vivero ha sido de Bs. 9,6; deter- </t>
  </si>
  <si>
    <t xml:space="preserve">mine el costo de la la última docena si el coef. de conocimiento y experiencia es del 92%?.  B) qué porcentaje ha </t>
  </si>
  <si>
    <t>1.- Qué es un sistema?, con este concepto esquematice el Sistema de la UTO.</t>
  </si>
  <si>
    <t>2.- Actualmente de quién es Ud. PROVEEDOR y de quién es CLIENTE?</t>
  </si>
  <si>
    <t>3.- Qué significa: Outsourcing; Feed back; Bench marking?</t>
  </si>
  <si>
    <t>4.- En el hábito de la gente altamente efectiva, cuál es el que se ocupa de la integridad física y mental?</t>
  </si>
  <si>
    <t>can las organizaciones?.</t>
  </si>
  <si>
    <t>1.- Determine el 20% vital y 80% trivial  a) de los +  ;  b) de los -   (VALE 25%)</t>
  </si>
  <si>
    <t>bajado el costo de producción entre la 1ra. Y la última docena?. (VALE 10 Y 10%)</t>
  </si>
  <si>
    <t>mentación - impacto. (VALE 15 Y 10%)</t>
  </si>
  <si>
    <t>TEORÍA (VALE 30%)</t>
  </si>
  <si>
    <t>EXAMEN DE PRIMERA REVALIDA - LA DIRECCION POR SISTEMAS</t>
  </si>
  <si>
    <t>Oruro, 8 dic. 2012</t>
  </si>
  <si>
    <t>5.- Cuál es la diferencia entre una persona COMPROMETIDA  y una persona APROPIADA?, y cuál de ellas bus-</t>
  </si>
  <si>
    <t xml:space="preserve"> - El contenedor especial  que ofrecen para cargar VIA AÉREA tiene las dimensiones: Largo = 90 cm; Ancho = 60 cm;  Alto = 45 cm</t>
  </si>
  <si>
    <t xml:space="preserve"> - La vida útil y óptima para la venta es  máximo 10 días, desde su cosecha.</t>
  </si>
  <si>
    <t xml:space="preserve"> - Hay vuelos diarios por BOA entre Cbba. - Sta. Cruz y deben embarcar en el vuelo de las 10,00 máximo. De  Sta. Cruz a Sao Paulo en Brasil vuelos diarios salen a hrs. 12,20.</t>
  </si>
  <si>
    <t>SUBTOTAL 1</t>
  </si>
  <si>
    <t>Se considera dos aguinaldos</t>
  </si>
  <si>
    <t>Se considera un aguinaldo</t>
  </si>
  <si>
    <t>Es la planilla mensual de sueldos</t>
  </si>
  <si>
    <t>RESUMEN</t>
  </si>
  <si>
    <t>INVERSIONES</t>
  </si>
  <si>
    <t>GASTOS OPERATIVOS</t>
  </si>
  <si>
    <t>Bs/mes</t>
  </si>
  <si>
    <t>SUBTOTAL 2</t>
  </si>
  <si>
    <t>SUBTOTAL 3</t>
  </si>
  <si>
    <t>GASTOS PROD. Bs/mes</t>
  </si>
  <si>
    <t>GASTOS DE PRODUCCION</t>
  </si>
  <si>
    <t>COSTO DE TRANSPORTE:</t>
  </si>
  <si>
    <t>PRODUCCION:</t>
  </si>
  <si>
    <t xml:space="preserve">1 Gruesa = 3 docenas = </t>
  </si>
  <si>
    <t>flores</t>
  </si>
  <si>
    <t>Rosas/mes</t>
  </si>
  <si>
    <t>Cantidad producc/mes = 36 flores*2160 gruesas =</t>
  </si>
  <si>
    <t>Producción/año (6 meses) = 77760 * 6</t>
  </si>
  <si>
    <t>Rosas/6 meses</t>
  </si>
  <si>
    <t>TRANSPORTE:</t>
  </si>
  <si>
    <t>Cada gruesa se empaca en caja de 45x30x15cm</t>
  </si>
  <si>
    <t xml:space="preserve">El contenedor mide 90x60x45 cm </t>
  </si>
  <si>
    <t>Volumen =</t>
  </si>
  <si>
    <t>cm3</t>
  </si>
  <si>
    <t>CANTIDAD DE CAJAS QUE CABEN EN EL CONTENEDOR:</t>
  </si>
  <si>
    <t>pzas.</t>
  </si>
  <si>
    <t>CANTIDAD DE CONTENEDORES/MES NECESARIOS:</t>
  </si>
  <si>
    <t>Vol contenedor/Vol caja =</t>
  </si>
  <si>
    <t>Necesito transp. 2160 gruesas al mes = 2160 cajas/12 cajas por contenedor</t>
  </si>
  <si>
    <t>Contenedores/mes</t>
  </si>
  <si>
    <t>Medidas del contenedor en cm/6000 (kg) = 90x60x45/6000</t>
  </si>
  <si>
    <t>Kgs.</t>
  </si>
  <si>
    <t>Costo de cada contenedor = 40,5Kgs x 7 US$/kg</t>
  </si>
  <si>
    <t>US$</t>
  </si>
  <si>
    <t>Costo de los 180 contenedores = 180 x 283,5</t>
  </si>
  <si>
    <t>US$/mes</t>
  </si>
  <si>
    <t>Bs/Rosa</t>
  </si>
  <si>
    <t>COSTO DE TRANSPORTE</t>
  </si>
  <si>
    <t>TOTAL COSTOS DIRECTOS</t>
  </si>
  <si>
    <t>G. ADMINISTRATIVOS 10%</t>
  </si>
  <si>
    <t>TASAS E IMPUESTOS 6%</t>
  </si>
  <si>
    <t xml:space="preserve"> = COSTO DE PRODUCCION EX WORK</t>
  </si>
  <si>
    <t>TOTAL COSTO PRODUCCION PUESTO ALEMANIA</t>
  </si>
  <si>
    <t>Bs.</t>
  </si>
  <si>
    <t>COSTO DE UNA ROSA PUESTO MUNICH =</t>
  </si>
  <si>
    <t>Bs</t>
  </si>
  <si>
    <t>PRECIO DE VENTA POR UNIDAD =</t>
  </si>
  <si>
    <t>Euros</t>
  </si>
  <si>
    <t xml:space="preserve"> = DE LAS 2160 GRUESAS/MES</t>
  </si>
  <si>
    <t>MONTO TOTAL CON UTILIDAD = Precio de cada rosa x cant. De rosas = 8,27 x 77760 rosas/mes</t>
  </si>
  <si>
    <t xml:space="preserve">MONTO TOTAL CON UTILIDAD = </t>
  </si>
  <si>
    <t xml:space="preserve">                   GASTOS TOTALES = COSTO DE PRODUCCION EX WORK</t>
  </si>
  <si>
    <t xml:space="preserve">GASTOS TOTALES = </t>
  </si>
  <si>
    <t>MARGEN OPERATIVO = MONTO CON UTILIDAD - COSTOS OPERATIVOS</t>
  </si>
  <si>
    <t xml:space="preserve">MARGEN OPERATIVO = </t>
  </si>
  <si>
    <t xml:space="preserve"> =&gt; SIGNIFICA UN: </t>
  </si>
  <si>
    <t>% DE LOS COSTOS</t>
  </si>
  <si>
    <r>
      <t>C)</t>
    </r>
    <r>
      <rPr>
        <sz val="10"/>
        <rFont val="Arial Narrow"/>
        <family val="2"/>
      </rPr>
      <t xml:space="preserve"> Si el costo de producción de la rosa Nro. 1 ha sido el correspondiente a la pregunta B 2;  cuál será el costo de producciòn de la rosa Nro. X al cabo del 5to. Mes de producción, si:     Fhi  = conocimiento y experiencia = 95%? (10 PUNTOS)</t>
    </r>
  </si>
  <si>
    <t>Contenedores/dia</t>
  </si>
  <si>
    <t>COSTO TOTAL DE PRODUCC. PUESTO ALEMANIA/ TOTAL PRODUCCION MES =</t>
  </si>
  <si>
    <t xml:space="preserve">LA FORMULA GENERAL ES: </t>
  </si>
  <si>
    <t>y(x) = k.x^n</t>
  </si>
  <si>
    <t>y(x) = k.x^(log fhi/log2)</t>
  </si>
  <si>
    <t>k =</t>
  </si>
  <si>
    <t>x = hasta el 5to. Mes de producción: = 77760 rosas/mes x 5 meses</t>
  </si>
  <si>
    <t>x =</t>
  </si>
  <si>
    <t>n= log0,95/log2 =</t>
  </si>
  <si>
    <t>y(x) =</t>
  </si>
  <si>
    <t>SEGÚN LA CURVA DE EXPERIENCIA, LA ROSA NRO. 388800 TENDRÍA QUE COSTAR Bs 2,45</t>
  </si>
  <si>
    <t xml:space="preserve"> = costo de la primera rosa</t>
  </si>
  <si>
    <t xml:space="preserve">           NO ENTRA AL EXAMEN</t>
  </si>
  <si>
    <t>QUE SE PUEDE HACER PARA BAJAR NUESTRO PRECIO DE VENTA Y SER MAS COMPETITIVOS?</t>
  </si>
  <si>
    <t xml:space="preserve"> - Si observamos los 4 costos del resumen el mas relevante es el COSTO DE TRANSPORTE</t>
  </si>
  <si>
    <t xml:space="preserve"> - Cualquier acción que se haga en este aspecto irá directamente a bajar el precio de venta</t>
  </si>
  <si>
    <t xml:space="preserve"> - VEMOS QUE BAJA A 7,29 Bs!!!! Osea un 7,29/8,27 = 11,8%, casi 12% . VEN CUAN IMPORTANTE ES LA LOGÍSTICA Y SUS COSTOS???.</t>
  </si>
  <si>
    <t xml:space="preserve">SUERTE EN EL EXAMEN FINAL, SOLO TENGAN CUIDADO EN LOS CALCULOS, EN ESTAS CIRCUNSTANCIAS SOLO TIENE VALOR EL </t>
  </si>
  <si>
    <t xml:space="preserve">RESULTADO NO ASI EL PROCEDIMIENTO. </t>
  </si>
  <si>
    <t>CUALQUIER DUDA LO VEREMOS EL PROXIMO MARTES 9/12 EN LA ULTIMA CLASE</t>
  </si>
  <si>
    <t xml:space="preserve"> - Ejm. Negociación con la linea aérea, ayuda del gobierno, ver nuevas empresas opcion de rutas aéreas etc.</t>
  </si>
  <si>
    <t xml:space="preserve"> - Hagan un ejercicio bajando el costo de transporte en 1 Bs por kg del contenedor, asumiendo que en vez de pagar 7 negociando con la linea aerea pagamos 6Bs/kg (celda K95)</t>
  </si>
  <si>
    <t>EJEMPLO RESUELTO - COSTOS Y SISTEMA OPERATIVO</t>
  </si>
  <si>
    <t>ORURO, 5 DIC. 2014</t>
  </si>
  <si>
    <t xml:space="preserve"> = COSTO DE UNA GRUESA</t>
  </si>
</sst>
</file>

<file path=xl/styles.xml><?xml version="1.0" encoding="utf-8"?>
<styleSheet xmlns="http://schemas.openxmlformats.org/spreadsheetml/2006/main">
  <numFmts count="1">
    <numFmt numFmtId="164" formatCode="0.0"/>
  </numFmts>
  <fonts count="9">
    <font>
      <sz val="10"/>
      <name val="Arial"/>
    </font>
    <font>
      <b/>
      <sz val="10"/>
      <name val="Arial Narrow"/>
      <family val="2"/>
    </font>
    <font>
      <sz val="10"/>
      <name val="Arial Narrow"/>
      <family val="2"/>
    </font>
    <font>
      <sz val="10"/>
      <name val="Arial"/>
    </font>
    <font>
      <b/>
      <sz val="10"/>
      <name val="Arial"/>
      <family val="2"/>
    </font>
    <font>
      <sz val="10"/>
      <color rgb="FFFF0000"/>
      <name val="Arial Narrow"/>
      <family val="2"/>
    </font>
    <font>
      <b/>
      <sz val="10"/>
      <color rgb="FFFF0000"/>
      <name val="Arial Narrow"/>
      <family val="2"/>
    </font>
    <font>
      <b/>
      <sz val="10"/>
      <color theme="0"/>
      <name val="Arial Narrow"/>
      <family val="2"/>
    </font>
    <font>
      <sz val="10"/>
      <color rgb="FFFF0000"/>
      <name val="Arial"/>
      <family val="2"/>
    </font>
  </fonts>
  <fills count="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3"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s>
  <cellStyleXfs count="1">
    <xf numFmtId="0" fontId="0" fillId="0" borderId="0"/>
  </cellStyleXfs>
  <cellXfs count="103">
    <xf numFmtId="0" fontId="0" fillId="0" borderId="0" xfId="0"/>
    <xf numFmtId="0" fontId="1" fillId="0" borderId="0" xfId="0" applyFont="1" applyAlignment="1">
      <alignment horizontal="center"/>
    </xf>
    <xf numFmtId="0" fontId="1" fillId="0" borderId="0" xfId="0" applyFont="1"/>
    <xf numFmtId="0" fontId="2" fillId="0" borderId="0" xfId="0" applyFont="1"/>
    <xf numFmtId="0" fontId="3" fillId="0" borderId="0" xfId="0" applyFont="1"/>
    <xf numFmtId="0" fontId="1" fillId="0" borderId="0" xfId="0" applyFont="1" applyAlignment="1">
      <alignment horizontal="center" wrapText="1"/>
    </xf>
    <xf numFmtId="0" fontId="2" fillId="0" borderId="0" xfId="0" applyFont="1" applyAlignment="1">
      <alignment horizontal="right"/>
    </xf>
    <xf numFmtId="0" fontId="2" fillId="0" borderId="1" xfId="0" applyFont="1" applyBorder="1"/>
    <xf numFmtId="0" fontId="2" fillId="0" borderId="2" xfId="0" applyFont="1" applyBorder="1"/>
    <xf numFmtId="0" fontId="2" fillId="0" borderId="3" xfId="0" applyFont="1" applyBorder="1"/>
    <xf numFmtId="0" fontId="2" fillId="0" borderId="3" xfId="0" applyFont="1" applyBorder="1" applyAlignment="1">
      <alignment horizontal="center"/>
    </xf>
    <xf numFmtId="0" fontId="2" fillId="0" borderId="5" xfId="0" applyFont="1" applyBorder="1"/>
    <xf numFmtId="0" fontId="1" fillId="0" borderId="6"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6" xfId="0" applyFont="1" applyBorder="1" applyAlignment="1">
      <alignment horizontal="right"/>
    </xf>
    <xf numFmtId="0" fontId="2" fillId="0" borderId="1" xfId="0" applyFont="1" applyBorder="1" applyAlignment="1">
      <alignment wrapText="1"/>
    </xf>
    <xf numFmtId="0" fontId="2" fillId="0" borderId="5" xfId="0" applyFont="1" applyBorder="1" applyAlignment="1">
      <alignment wrapText="1"/>
    </xf>
    <xf numFmtId="0" fontId="2" fillId="0" borderId="2" xfId="0" applyFont="1" applyBorder="1" applyAlignment="1">
      <alignment wrapText="1"/>
    </xf>
    <xf numFmtId="0" fontId="2" fillId="0" borderId="5"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0" xfId="0" applyFont="1" applyAlignment="1">
      <alignment horizontal="left" wrapText="1"/>
    </xf>
    <xf numFmtId="0" fontId="4" fillId="0" borderId="0" xfId="0" applyFont="1" applyAlignment="1">
      <alignment horizontal="center"/>
    </xf>
    <xf numFmtId="0" fontId="0" fillId="0" borderId="1" xfId="0" applyBorder="1"/>
    <xf numFmtId="0" fontId="0" fillId="0" borderId="5" xfId="0" applyBorder="1"/>
    <xf numFmtId="0" fontId="4" fillId="0" borderId="6" xfId="0" applyFont="1" applyBorder="1" applyAlignment="1">
      <alignment horizontal="center"/>
    </xf>
    <xf numFmtId="0" fontId="4" fillId="0" borderId="3" xfId="0" applyFont="1" applyBorder="1" applyAlignment="1">
      <alignment horizontal="center"/>
    </xf>
    <xf numFmtId="0" fontId="4" fillId="0" borderId="3" xfId="0" applyFont="1" applyBorder="1" applyAlignment="1">
      <alignment horizontal="center" wrapText="1"/>
    </xf>
    <xf numFmtId="0" fontId="4" fillId="0" borderId="4" xfId="0" applyFont="1" applyBorder="1" applyAlignment="1">
      <alignment horizontal="center"/>
    </xf>
    <xf numFmtId="0" fontId="0" fillId="0" borderId="2" xfId="0" applyBorder="1"/>
    <xf numFmtId="0" fontId="4" fillId="0" borderId="7" xfId="0" applyFont="1" applyBorder="1"/>
    <xf numFmtId="164" fontId="4" fillId="0" borderId="8" xfId="0" applyNumberFormat="1" applyFont="1" applyBorder="1"/>
    <xf numFmtId="0" fontId="4" fillId="0" borderId="9" xfId="0" applyFont="1" applyBorder="1"/>
    <xf numFmtId="164" fontId="4" fillId="0" borderId="10" xfId="0" applyNumberFormat="1" applyFont="1" applyBorder="1"/>
    <xf numFmtId="0" fontId="4" fillId="0" borderId="11" xfId="0" applyFont="1" applyFill="1" applyBorder="1" applyAlignment="1">
      <alignment horizontal="right"/>
    </xf>
    <xf numFmtId="0" fontId="4" fillId="0" borderId="12" xfId="0" applyFont="1" applyFill="1" applyBorder="1" applyAlignment="1">
      <alignment horizontal="right"/>
    </xf>
    <xf numFmtId="0" fontId="4" fillId="0" borderId="0" xfId="0" applyFont="1"/>
    <xf numFmtId="1" fontId="2" fillId="0" borderId="5" xfId="0" applyNumberFormat="1" applyFont="1" applyBorder="1"/>
    <xf numFmtId="1" fontId="2" fillId="0" borderId="1" xfId="0" applyNumberFormat="1" applyFont="1" applyBorder="1"/>
    <xf numFmtId="1" fontId="2" fillId="0" borderId="2" xfId="0" applyNumberFormat="1" applyFont="1" applyBorder="1"/>
    <xf numFmtId="1" fontId="5" fillId="0" borderId="5" xfId="0" applyNumberFormat="1" applyFont="1" applyBorder="1"/>
    <xf numFmtId="164" fontId="5" fillId="0" borderId="5" xfId="0" applyNumberFormat="1" applyFont="1" applyBorder="1"/>
    <xf numFmtId="164" fontId="6" fillId="0" borderId="4" xfId="0" applyNumberFormat="1" applyFont="1" applyBorder="1"/>
    <xf numFmtId="0" fontId="5" fillId="0" borderId="5" xfId="0" applyFont="1" applyBorder="1"/>
    <xf numFmtId="0" fontId="5" fillId="0" borderId="1" xfId="0" applyFont="1" applyBorder="1"/>
    <xf numFmtId="164" fontId="5" fillId="0" borderId="1" xfId="0" applyNumberFormat="1" applyFont="1" applyBorder="1"/>
    <xf numFmtId="0" fontId="5" fillId="0" borderId="2" xfId="0" applyFont="1" applyBorder="1"/>
    <xf numFmtId="0" fontId="5" fillId="0" borderId="0" xfId="0" applyFont="1"/>
    <xf numFmtId="0" fontId="5" fillId="0" borderId="0" xfId="0" applyFont="1" applyAlignment="1">
      <alignment horizontal="right"/>
    </xf>
    <xf numFmtId="0" fontId="5" fillId="0" borderId="1" xfId="0" applyFont="1" applyBorder="1" applyAlignment="1">
      <alignment horizontal="right"/>
    </xf>
    <xf numFmtId="0" fontId="1" fillId="0" borderId="1" xfId="0" applyFont="1" applyBorder="1" applyAlignment="1">
      <alignment horizontal="center" wrapText="1"/>
    </xf>
    <xf numFmtId="0" fontId="5" fillId="0" borderId="0" xfId="0" applyFont="1" applyBorder="1" applyAlignment="1">
      <alignment horizontal="right"/>
    </xf>
    <xf numFmtId="0" fontId="5" fillId="0" borderId="0" xfId="0" applyFont="1" applyBorder="1"/>
    <xf numFmtId="0" fontId="1" fillId="0" borderId="0" xfId="0" applyFont="1" applyBorder="1" applyAlignment="1">
      <alignment horizontal="center" wrapText="1"/>
    </xf>
    <xf numFmtId="164" fontId="5" fillId="0" borderId="0" xfId="0" applyNumberFormat="1" applyFont="1" applyBorder="1"/>
    <xf numFmtId="164" fontId="6" fillId="0" borderId="0" xfId="0" applyNumberFormat="1" applyFont="1" applyBorder="1"/>
    <xf numFmtId="0" fontId="6" fillId="0" borderId="0" xfId="0" applyFont="1"/>
    <xf numFmtId="0" fontId="6" fillId="0" borderId="16" xfId="0" applyFont="1" applyBorder="1"/>
    <xf numFmtId="0" fontId="6" fillId="0" borderId="17" xfId="0" applyFont="1" applyBorder="1"/>
    <xf numFmtId="2" fontId="2" fillId="0" borderId="0" xfId="0" applyNumberFormat="1" applyFont="1"/>
    <xf numFmtId="2" fontId="6" fillId="0" borderId="0" xfId="0" applyNumberFormat="1" applyFont="1"/>
    <xf numFmtId="164" fontId="6" fillId="0" borderId="0" xfId="0" applyNumberFormat="1" applyFont="1"/>
    <xf numFmtId="0" fontId="6" fillId="0" borderId="0" xfId="0" applyFont="1" applyAlignment="1">
      <alignment horizontal="center"/>
    </xf>
    <xf numFmtId="164" fontId="6" fillId="0" borderId="16" xfId="0" applyNumberFormat="1" applyFont="1" applyBorder="1"/>
    <xf numFmtId="2" fontId="6" fillId="0" borderId="16" xfId="0" applyNumberFormat="1" applyFont="1" applyBorder="1"/>
    <xf numFmtId="0" fontId="6" fillId="0" borderId="0" xfId="0" applyFont="1" applyAlignment="1">
      <alignment horizontal="right"/>
    </xf>
    <xf numFmtId="2" fontId="5" fillId="0" borderId="0" xfId="0" applyNumberFormat="1" applyFont="1"/>
    <xf numFmtId="0" fontId="6" fillId="2" borderId="16" xfId="0" applyFont="1" applyFill="1" applyBorder="1"/>
    <xf numFmtId="0" fontId="6" fillId="2" borderId="18" xfId="0" applyFont="1" applyFill="1" applyBorder="1"/>
    <xf numFmtId="164" fontId="6" fillId="2" borderId="17" xfId="0" applyNumberFormat="1" applyFont="1" applyFill="1" applyBorder="1"/>
    <xf numFmtId="0" fontId="6" fillId="2" borderId="0" xfId="0" applyFont="1" applyFill="1"/>
    <xf numFmtId="164" fontId="6" fillId="2" borderId="0" xfId="0" applyNumberFormat="1" applyFont="1" applyFill="1"/>
    <xf numFmtId="0" fontId="5" fillId="0" borderId="0" xfId="0" applyFont="1" applyAlignment="1">
      <alignment horizontal="left"/>
    </xf>
    <xf numFmtId="0" fontId="6" fillId="0" borderId="0" xfId="0" applyFont="1" applyAlignment="1">
      <alignment horizontal="left"/>
    </xf>
    <xf numFmtId="0" fontId="7" fillId="3" borderId="0" xfId="0" applyFont="1" applyFill="1" applyAlignment="1">
      <alignment horizontal="right"/>
    </xf>
    <xf numFmtId="2" fontId="7" fillId="3" borderId="16" xfId="0" applyNumberFormat="1" applyFont="1" applyFill="1" applyBorder="1"/>
    <xf numFmtId="0" fontId="7" fillId="3" borderId="17" xfId="0" applyFont="1" applyFill="1" applyBorder="1"/>
    <xf numFmtId="2" fontId="7" fillId="3" borderId="0" xfId="0" applyNumberFormat="1" applyFont="1" applyFill="1"/>
    <xf numFmtId="0" fontId="7" fillId="3" borderId="0" xfId="0" applyFont="1" applyFill="1"/>
    <xf numFmtId="0" fontId="8" fillId="0" borderId="0" xfId="0" applyFont="1"/>
    <xf numFmtId="0" fontId="2" fillId="0" borderId="0" xfId="0" applyFont="1" applyFill="1" applyAlignment="1">
      <alignment horizontal="right"/>
    </xf>
    <xf numFmtId="0" fontId="7" fillId="0" borderId="0" xfId="0" applyFont="1" applyFill="1" applyAlignment="1">
      <alignment horizontal="right"/>
    </xf>
    <xf numFmtId="2" fontId="7" fillId="0" borderId="0" xfId="0" applyNumberFormat="1" applyFont="1" applyFill="1"/>
    <xf numFmtId="0" fontId="7" fillId="0" borderId="0" xfId="0" applyFont="1" applyFill="1"/>
    <xf numFmtId="0" fontId="2" fillId="0" borderId="0" xfId="0" applyFont="1" applyFill="1"/>
    <xf numFmtId="0" fontId="6" fillId="0" borderId="0" xfId="0" applyFont="1" applyFill="1" applyAlignment="1">
      <alignment horizontal="left"/>
    </xf>
    <xf numFmtId="2" fontId="6" fillId="0" borderId="0" xfId="0" applyNumberFormat="1" applyFont="1" applyFill="1"/>
    <xf numFmtId="0" fontId="6" fillId="0" borderId="0" xfId="0" applyFont="1" applyFill="1"/>
    <xf numFmtId="0" fontId="5" fillId="0" borderId="0" xfId="0" applyFont="1" applyFill="1"/>
    <xf numFmtId="0" fontId="5" fillId="0" borderId="0" xfId="0" applyFont="1" applyFill="1" applyAlignment="1">
      <alignment horizontal="left"/>
    </xf>
    <xf numFmtId="0" fontId="6" fillId="2" borderId="16" xfId="0" applyFont="1" applyFill="1" applyBorder="1" applyAlignment="1">
      <alignment horizontal="center"/>
    </xf>
    <xf numFmtId="0" fontId="6" fillId="2" borderId="18" xfId="0" applyFont="1" applyFill="1" applyBorder="1" applyAlignment="1">
      <alignment horizontal="center"/>
    </xf>
    <xf numFmtId="0" fontId="6" fillId="2" borderId="17" xfId="0" applyFont="1" applyFill="1" applyBorder="1" applyAlignment="1">
      <alignment horizontal="center"/>
    </xf>
    <xf numFmtId="0" fontId="1" fillId="4" borderId="0" xfId="0" applyFont="1" applyFill="1" applyAlignment="1">
      <alignment horizontal="center"/>
    </xf>
    <xf numFmtId="0" fontId="2" fillId="0" borderId="0" xfId="0" applyFont="1" applyAlignment="1">
      <alignment horizontal="left" wrapText="1"/>
    </xf>
    <xf numFmtId="0" fontId="1" fillId="0" borderId="0" xfId="0" applyFont="1" applyAlignment="1">
      <alignment horizontal="left" wrapText="1"/>
    </xf>
    <xf numFmtId="0" fontId="6" fillId="0" borderId="13" xfId="0" applyFont="1" applyBorder="1" applyAlignment="1">
      <alignment horizontal="right"/>
    </xf>
    <xf numFmtId="0" fontId="6" fillId="0" borderId="14" xfId="0" applyFont="1" applyBorder="1" applyAlignment="1">
      <alignment horizontal="right"/>
    </xf>
    <xf numFmtId="0" fontId="6" fillId="0" borderId="15" xfId="0" applyFont="1" applyBorder="1" applyAlignment="1">
      <alignment horizontal="right"/>
    </xf>
    <xf numFmtId="0" fontId="6" fillId="0" borderId="0" xfId="0" applyFont="1" applyAlignment="1">
      <alignment horizontal="right"/>
    </xf>
    <xf numFmtId="0" fontId="6" fillId="0" borderId="19" xfId="0" applyFont="1" applyBorder="1" applyAlignment="1">
      <alignment horizontal="right"/>
    </xf>
    <xf numFmtId="0" fontId="4" fillId="0" borderId="0" xfId="0" applyFont="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0</xdr:colOff>
      <xdr:row>23</xdr:row>
      <xdr:rowOff>104775</xdr:rowOff>
    </xdr:from>
    <xdr:to>
      <xdr:col>7</xdr:col>
      <xdr:colOff>885825</xdr:colOff>
      <xdr:row>49</xdr:row>
      <xdr:rowOff>9525</xdr:rowOff>
    </xdr:to>
    <xdr:pic>
      <xdr:nvPicPr>
        <xdr:cNvPr id="1026"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0" y="4667250"/>
          <a:ext cx="6762750" cy="4114800"/>
        </a:xfrm>
        <a:prstGeom prst="rect">
          <a:avLst/>
        </a:prstGeom>
        <a:noFill/>
      </xdr:spPr>
    </xdr:pic>
    <xdr:clientData/>
  </xdr:twoCellAnchor>
  <xdr:twoCellAnchor>
    <xdr:from>
      <xdr:col>2</xdr:col>
      <xdr:colOff>104775</xdr:colOff>
      <xdr:row>39</xdr:row>
      <xdr:rowOff>123825</xdr:rowOff>
    </xdr:from>
    <xdr:to>
      <xdr:col>2</xdr:col>
      <xdr:colOff>504825</xdr:colOff>
      <xdr:row>39</xdr:row>
      <xdr:rowOff>152400</xdr:rowOff>
    </xdr:to>
    <xdr:sp macro="" textlink="">
      <xdr:nvSpPr>
        <xdr:cNvPr id="1028" name="Line 4"/>
        <xdr:cNvSpPr>
          <a:spLocks noChangeShapeType="1"/>
        </xdr:cNvSpPr>
      </xdr:nvSpPr>
      <xdr:spPr bwMode="auto">
        <a:xfrm>
          <a:off x="1924050" y="7277100"/>
          <a:ext cx="400050" cy="28575"/>
        </a:xfrm>
        <a:prstGeom prst="line">
          <a:avLst/>
        </a:prstGeom>
        <a:noFill/>
        <a:ln w="19050">
          <a:solidFill>
            <a:srgbClr val="000000"/>
          </a:solidFill>
          <a:round/>
          <a:headEnd/>
          <a:tailEnd type="arrow" w="med" len="med"/>
        </a:ln>
      </xdr:spPr>
    </xdr:sp>
    <xdr:clientData/>
  </xdr:twoCellAnchor>
  <xdr:twoCellAnchor>
    <xdr:from>
      <xdr:col>2</xdr:col>
      <xdr:colOff>485775</xdr:colOff>
      <xdr:row>30</xdr:row>
      <xdr:rowOff>76200</xdr:rowOff>
    </xdr:from>
    <xdr:to>
      <xdr:col>3</xdr:col>
      <xdr:colOff>771525</xdr:colOff>
      <xdr:row>39</xdr:row>
      <xdr:rowOff>152400</xdr:rowOff>
    </xdr:to>
    <xdr:sp macro="" textlink="">
      <xdr:nvSpPr>
        <xdr:cNvPr id="1029" name="Freeform 5"/>
        <xdr:cNvSpPr>
          <a:spLocks/>
        </xdr:cNvSpPr>
      </xdr:nvSpPr>
      <xdr:spPr bwMode="auto">
        <a:xfrm>
          <a:off x="2305050" y="5772150"/>
          <a:ext cx="904875" cy="1533525"/>
        </a:xfrm>
        <a:custGeom>
          <a:avLst/>
          <a:gdLst/>
          <a:ahLst/>
          <a:cxnLst>
            <a:cxn ang="0">
              <a:pos x="0" y="161"/>
            </a:cxn>
            <a:cxn ang="0">
              <a:pos x="8" y="96"/>
            </a:cxn>
            <a:cxn ang="0">
              <a:pos x="38" y="40"/>
            </a:cxn>
            <a:cxn ang="0">
              <a:pos x="95" y="0"/>
            </a:cxn>
          </a:cxnLst>
          <a:rect l="0" t="0" r="r" b="b"/>
          <a:pathLst>
            <a:path w="95" h="161">
              <a:moveTo>
                <a:pt x="0" y="161"/>
              </a:moveTo>
              <a:cubicBezTo>
                <a:pt x="1" y="138"/>
                <a:pt x="2" y="116"/>
                <a:pt x="8" y="96"/>
              </a:cubicBezTo>
              <a:cubicBezTo>
                <a:pt x="14" y="76"/>
                <a:pt x="24" y="56"/>
                <a:pt x="38" y="40"/>
              </a:cubicBezTo>
              <a:cubicBezTo>
                <a:pt x="52" y="24"/>
                <a:pt x="85" y="7"/>
                <a:pt x="95" y="0"/>
              </a:cubicBezTo>
            </a:path>
          </a:pathLst>
        </a:custGeom>
        <a:noFill/>
        <a:ln w="19050" cmpd="sng">
          <a:solidFill>
            <a:srgbClr val="000000"/>
          </a:solidFill>
          <a:round/>
          <a:headEnd type="none" w="med" len="med"/>
          <a:tailEnd type="arrow" w="med" len="med"/>
        </a:ln>
      </xdr:spPr>
    </xdr:sp>
    <xdr:clientData/>
  </xdr:twoCellAnchor>
  <xdr:twoCellAnchor>
    <xdr:from>
      <xdr:col>7</xdr:col>
      <xdr:colOff>85725</xdr:colOff>
      <xdr:row>18</xdr:row>
      <xdr:rowOff>0</xdr:rowOff>
    </xdr:from>
    <xdr:to>
      <xdr:col>7</xdr:col>
      <xdr:colOff>257175</xdr:colOff>
      <xdr:row>21</xdr:row>
      <xdr:rowOff>152400</xdr:rowOff>
    </xdr:to>
    <xdr:sp macro="" textlink="">
      <xdr:nvSpPr>
        <xdr:cNvPr id="5" name="4 Cerrar llave"/>
        <xdr:cNvSpPr/>
      </xdr:nvSpPr>
      <xdr:spPr bwMode="auto">
        <a:xfrm>
          <a:off x="7058025" y="3752850"/>
          <a:ext cx="171450" cy="638175"/>
        </a:xfrm>
        <a:prstGeom prst="rightBrace">
          <a:avLst/>
        </a:prstGeom>
        <a:ln>
          <a:solidFill>
            <a:srgbClr val="FF0000"/>
          </a:solidFill>
          <a:headEnd type="none" w="med" len="med"/>
          <a:tailEnd type="none" w="med" len="med"/>
        </a:ln>
      </xdr:spPr>
      <xdr:style>
        <a:lnRef idx="2">
          <a:schemeClr val="accent1"/>
        </a:lnRef>
        <a:fillRef idx="0">
          <a:schemeClr val="accent1"/>
        </a:fillRef>
        <a:effectRef idx="1">
          <a:schemeClr val="accent1"/>
        </a:effectRef>
        <a:fontRef idx="minor">
          <a:schemeClr val="tx1"/>
        </a:fontRef>
      </xdr:style>
      <xdr:txBody>
        <a:bodyPr vertOverflow="clip" wrap="square" lIns="18288" tIns="0" rIns="0" bIns="0" rtlCol="0" anchor="ctr" upright="1"/>
        <a:lstStyle/>
        <a:p>
          <a:pPr algn="ctr"/>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L149"/>
  <sheetViews>
    <sheetView tabSelected="1" topLeftCell="A124" workbookViewId="0">
      <selection activeCell="F149" sqref="F149"/>
    </sheetView>
  </sheetViews>
  <sheetFormatPr baseColWidth="10" defaultRowHeight="12.75"/>
  <cols>
    <col min="1" max="1" width="4.42578125" customWidth="1"/>
    <col min="2" max="2" width="35" customWidth="1"/>
    <col min="3" max="4" width="12" customWidth="1"/>
    <col min="5" max="5" width="14.5703125" customWidth="1"/>
    <col min="6" max="6" width="13.140625" customWidth="1"/>
    <col min="7" max="7" width="13.42578125" customWidth="1"/>
    <col min="8" max="8" width="18.42578125" customWidth="1"/>
    <col min="9" max="9" width="16" customWidth="1"/>
    <col min="10" max="10" width="17.28515625" customWidth="1"/>
  </cols>
  <sheetData>
    <row r="2" spans="1:9">
      <c r="A2" s="37" t="s">
        <v>187</v>
      </c>
    </row>
    <row r="3" spans="1:9" ht="15.75" customHeight="1"/>
    <row r="4" spans="1:9" ht="24" customHeight="1">
      <c r="A4" s="95" t="s">
        <v>1</v>
      </c>
      <c r="B4" s="95"/>
      <c r="C4" s="95"/>
      <c r="D4" s="95"/>
      <c r="E4" s="95"/>
      <c r="F4" s="95"/>
      <c r="G4" s="95"/>
      <c r="H4" s="95"/>
      <c r="I4" s="22"/>
    </row>
    <row r="5" spans="1:9">
      <c r="A5" s="3" t="s">
        <v>0</v>
      </c>
      <c r="B5" s="4"/>
      <c r="C5" s="4"/>
      <c r="D5" s="4"/>
      <c r="E5" s="4"/>
      <c r="F5" s="4"/>
      <c r="G5" s="4"/>
      <c r="H5" s="4"/>
      <c r="I5" s="4"/>
    </row>
    <row r="6" spans="1:9">
      <c r="A6" s="3" t="s">
        <v>13</v>
      </c>
      <c r="B6" s="3"/>
      <c r="C6" s="3"/>
      <c r="D6" s="3"/>
      <c r="E6" s="3"/>
      <c r="F6" s="3"/>
      <c r="G6" s="3"/>
      <c r="H6" s="3"/>
      <c r="I6" s="3"/>
    </row>
    <row r="7" spans="1:9" ht="24.75" customHeight="1">
      <c r="A7" s="95" t="s">
        <v>40</v>
      </c>
      <c r="B7" s="95"/>
      <c r="C7" s="95"/>
      <c r="D7" s="95"/>
      <c r="E7" s="95"/>
      <c r="F7" s="95"/>
      <c r="G7" s="95"/>
      <c r="H7" s="95"/>
      <c r="I7" s="22"/>
    </row>
    <row r="8" spans="1:9">
      <c r="A8" s="3" t="s">
        <v>2</v>
      </c>
      <c r="B8" s="3"/>
      <c r="C8" s="3"/>
      <c r="D8" s="3"/>
      <c r="E8" s="3"/>
      <c r="F8" s="3"/>
      <c r="G8" s="3"/>
      <c r="H8" s="3"/>
      <c r="I8" s="3"/>
    </row>
    <row r="9" spans="1:9">
      <c r="A9" s="3" t="s">
        <v>103</v>
      </c>
      <c r="B9" s="3"/>
      <c r="C9" s="3"/>
      <c r="D9" s="3"/>
      <c r="E9" s="3"/>
      <c r="F9" s="3"/>
      <c r="G9" s="3"/>
      <c r="H9" s="3"/>
      <c r="I9" s="3"/>
    </row>
    <row r="10" spans="1:9">
      <c r="A10" s="3" t="s">
        <v>104</v>
      </c>
      <c r="B10" s="3"/>
      <c r="C10" s="3"/>
      <c r="D10" s="3"/>
      <c r="E10" s="3"/>
      <c r="F10" s="3"/>
      <c r="G10" s="3"/>
      <c r="H10" s="3"/>
      <c r="I10" s="3"/>
    </row>
    <row r="11" spans="1:9" ht="25.5" customHeight="1">
      <c r="A11" s="95" t="s">
        <v>105</v>
      </c>
      <c r="B11" s="95"/>
      <c r="C11" s="95"/>
      <c r="D11" s="95"/>
      <c r="E11" s="95"/>
      <c r="F11" s="95"/>
      <c r="G11" s="95"/>
      <c r="H11" s="95"/>
      <c r="I11" s="22"/>
    </row>
    <row r="12" spans="1:9">
      <c r="A12" s="3" t="s">
        <v>6</v>
      </c>
      <c r="B12" s="3"/>
      <c r="C12" s="3"/>
      <c r="D12" s="3"/>
      <c r="E12" s="3"/>
      <c r="F12" s="3"/>
      <c r="G12" s="3"/>
      <c r="H12" s="3"/>
      <c r="I12" s="3"/>
    </row>
    <row r="13" spans="1:9">
      <c r="A13" s="3" t="s">
        <v>53</v>
      </c>
      <c r="B13" s="3"/>
      <c r="C13" s="3"/>
      <c r="D13" s="3"/>
      <c r="E13" s="3"/>
      <c r="F13" s="3"/>
      <c r="G13" s="3"/>
      <c r="H13" s="3"/>
      <c r="I13" s="3"/>
    </row>
    <row r="14" spans="1:9">
      <c r="A14" s="3" t="s">
        <v>3</v>
      </c>
      <c r="B14" s="3"/>
      <c r="C14" s="3"/>
      <c r="D14" s="3"/>
      <c r="E14" s="3"/>
      <c r="F14" s="3"/>
      <c r="G14" s="3"/>
      <c r="H14" s="3"/>
      <c r="I14" s="3"/>
    </row>
    <row r="15" spans="1:9">
      <c r="A15" s="3"/>
      <c r="B15" s="3" t="s">
        <v>4</v>
      </c>
      <c r="C15" s="3"/>
      <c r="D15" s="3"/>
      <c r="E15" s="3"/>
      <c r="F15" s="3"/>
      <c r="G15" s="3"/>
      <c r="H15" s="3"/>
      <c r="I15" s="3"/>
    </row>
    <row r="16" spans="1:9">
      <c r="A16" s="3"/>
      <c r="B16" s="3" t="s">
        <v>5</v>
      </c>
      <c r="C16" s="3"/>
      <c r="D16" s="3"/>
      <c r="E16" s="3"/>
      <c r="F16" s="3"/>
      <c r="G16" s="3"/>
      <c r="H16" s="3"/>
      <c r="I16" s="3"/>
    </row>
    <row r="17" spans="1:9" ht="24" customHeight="1">
      <c r="A17" s="95" t="s">
        <v>44</v>
      </c>
      <c r="B17" s="95"/>
      <c r="C17" s="95"/>
      <c r="D17" s="95"/>
      <c r="E17" s="95"/>
      <c r="F17" s="95"/>
      <c r="G17" s="95"/>
      <c r="H17" s="95"/>
      <c r="I17" s="22"/>
    </row>
    <row r="18" spans="1:9" s="3" customFormat="1">
      <c r="A18" s="2" t="s">
        <v>38</v>
      </c>
    </row>
    <row r="19" spans="1:9" s="3" customFormat="1">
      <c r="A19" s="3" t="s">
        <v>41</v>
      </c>
    </row>
    <row r="20" spans="1:9" s="3" customFormat="1">
      <c r="A20" s="3" t="s">
        <v>49</v>
      </c>
      <c r="H20" s="48" t="s">
        <v>177</v>
      </c>
    </row>
    <row r="21" spans="1:9" s="3" customFormat="1">
      <c r="A21" s="3" t="s">
        <v>51</v>
      </c>
    </row>
    <row r="22" spans="1:9" s="3" customFormat="1">
      <c r="A22" s="3" t="s">
        <v>50</v>
      </c>
    </row>
    <row r="23" spans="1:9" s="3" customFormat="1"/>
    <row r="24" spans="1:9" s="3" customFormat="1">
      <c r="A24"/>
    </row>
    <row r="25" spans="1:9" s="3" customFormat="1"/>
    <row r="26" spans="1:9" s="3" customFormat="1"/>
    <row r="27" spans="1:9" s="3" customFormat="1"/>
    <row r="28" spans="1:9" s="3" customFormat="1"/>
    <row r="29" spans="1:9" s="3" customFormat="1"/>
    <row r="30" spans="1:9" s="3" customFormat="1"/>
    <row r="31" spans="1:9" s="3" customFormat="1"/>
    <row r="32" spans="1:9" s="3" customFormat="1"/>
    <row r="33" s="3" customFormat="1"/>
    <row r="34" s="3" customFormat="1"/>
    <row r="35" s="3" customFormat="1"/>
    <row r="36" s="3" customFormat="1"/>
    <row r="37" s="3" customFormat="1"/>
    <row r="38" s="3" customFormat="1"/>
    <row r="39" s="3" customFormat="1"/>
    <row r="40" s="3" customFormat="1"/>
    <row r="41" s="3" customFormat="1"/>
    <row r="42" s="3" customFormat="1"/>
    <row r="43" s="3" customFormat="1"/>
    <row r="44" s="3" customFormat="1"/>
    <row r="45" s="3" customFormat="1"/>
    <row r="46" s="3" customFormat="1"/>
    <row r="47" s="3" customFormat="1"/>
    <row r="48" s="3" customFormat="1"/>
    <row r="49" spans="1:9" s="3" customFormat="1"/>
    <row r="50" spans="1:9" s="3" customFormat="1"/>
    <row r="51" spans="1:9" s="3" customFormat="1" ht="12" customHeight="1"/>
    <row r="52" spans="1:9" s="3" customFormat="1">
      <c r="A52" s="2" t="s">
        <v>7</v>
      </c>
    </row>
    <row r="53" spans="1:9" s="3" customFormat="1" ht="13.5" thickBot="1">
      <c r="A53" s="2" t="s">
        <v>33</v>
      </c>
    </row>
    <row r="54" spans="1:9" s="3" customFormat="1" ht="26.25" thickBot="1">
      <c r="A54" s="12" t="s">
        <v>8</v>
      </c>
      <c r="B54" s="13" t="s">
        <v>11</v>
      </c>
      <c r="C54" s="13" t="s">
        <v>12</v>
      </c>
      <c r="D54" s="13" t="s">
        <v>9</v>
      </c>
      <c r="E54" s="13" t="s">
        <v>14</v>
      </c>
      <c r="F54" s="13" t="s">
        <v>15</v>
      </c>
      <c r="G54" s="13" t="s">
        <v>10</v>
      </c>
      <c r="H54" s="14" t="s">
        <v>16</v>
      </c>
      <c r="I54" s="54"/>
    </row>
    <row r="55" spans="1:9" s="3" customFormat="1">
      <c r="A55" s="11">
        <v>1</v>
      </c>
      <c r="B55" s="11" t="s">
        <v>17</v>
      </c>
      <c r="C55" s="38">
        <v>20000</v>
      </c>
      <c r="D55" s="19">
        <v>3</v>
      </c>
      <c r="E55" s="11">
        <v>0</v>
      </c>
      <c r="F55" s="41">
        <f>C55-E55</f>
        <v>20000</v>
      </c>
      <c r="G55" s="42">
        <f>F55/D55</f>
        <v>6666.666666666667</v>
      </c>
      <c r="H55" s="42">
        <f>G55*6.96/12</f>
        <v>3866.6666666666665</v>
      </c>
      <c r="I55" s="55"/>
    </row>
    <row r="56" spans="1:9" s="3" customFormat="1">
      <c r="A56" s="7">
        <v>2</v>
      </c>
      <c r="B56" s="7" t="s">
        <v>18</v>
      </c>
      <c r="C56" s="39">
        <v>20000</v>
      </c>
      <c r="D56" s="20">
        <v>3</v>
      </c>
      <c r="E56" s="7">
        <v>1000</v>
      </c>
      <c r="F56" s="41">
        <f>C56-E56</f>
        <v>19000</v>
      </c>
      <c r="G56" s="42">
        <f t="shared" ref="G56:G60" si="0">F56/D56</f>
        <v>6333.333333333333</v>
      </c>
      <c r="H56" s="42">
        <f t="shared" ref="H56:H60" si="1">G56*6.96/12</f>
        <v>3673.3333333333335</v>
      </c>
      <c r="I56" s="55"/>
    </row>
    <row r="57" spans="1:9" s="3" customFormat="1">
      <c r="A57" s="7">
        <v>3</v>
      </c>
      <c r="B57" s="7" t="s">
        <v>19</v>
      </c>
      <c r="C57" s="39">
        <v>10000</v>
      </c>
      <c r="D57" s="20">
        <v>3</v>
      </c>
      <c r="E57" s="7">
        <v>0</v>
      </c>
      <c r="F57" s="41">
        <f t="shared" ref="F57:F60" si="2">C57-E57</f>
        <v>10000</v>
      </c>
      <c r="G57" s="42">
        <f t="shared" si="0"/>
        <v>3333.3333333333335</v>
      </c>
      <c r="H57" s="42">
        <f t="shared" si="1"/>
        <v>1933.3333333333333</v>
      </c>
      <c r="I57" s="55"/>
    </row>
    <row r="58" spans="1:9" s="3" customFormat="1">
      <c r="A58" s="7">
        <v>4</v>
      </c>
      <c r="B58" s="7" t="s">
        <v>20</v>
      </c>
      <c r="C58" s="39">
        <v>5000</v>
      </c>
      <c r="D58" s="20">
        <v>3</v>
      </c>
      <c r="E58" s="7">
        <v>500</v>
      </c>
      <c r="F58" s="41">
        <f t="shared" si="2"/>
        <v>4500</v>
      </c>
      <c r="G58" s="42">
        <f t="shared" si="0"/>
        <v>1500</v>
      </c>
      <c r="H58" s="42">
        <f t="shared" si="1"/>
        <v>870</v>
      </c>
      <c r="I58" s="55"/>
    </row>
    <row r="59" spans="1:9" s="3" customFormat="1">
      <c r="A59" s="7">
        <v>5</v>
      </c>
      <c r="B59" s="7" t="s">
        <v>21</v>
      </c>
      <c r="C59" s="39">
        <v>15000</v>
      </c>
      <c r="D59" s="20">
        <v>3</v>
      </c>
      <c r="E59" s="7">
        <v>600</v>
      </c>
      <c r="F59" s="41">
        <f t="shared" si="2"/>
        <v>14400</v>
      </c>
      <c r="G59" s="42">
        <f t="shared" si="0"/>
        <v>4800</v>
      </c>
      <c r="H59" s="42">
        <f t="shared" si="1"/>
        <v>2784</v>
      </c>
      <c r="I59" s="55"/>
    </row>
    <row r="60" spans="1:9" s="3" customFormat="1" ht="13.5" thickBot="1">
      <c r="A60" s="7">
        <v>6</v>
      </c>
      <c r="B60" s="8" t="s">
        <v>22</v>
      </c>
      <c r="C60" s="40">
        <v>28000</v>
      </c>
      <c r="D60" s="21">
        <v>3</v>
      </c>
      <c r="E60" s="8">
        <v>8000</v>
      </c>
      <c r="F60" s="41">
        <f t="shared" si="2"/>
        <v>20000</v>
      </c>
      <c r="G60" s="42">
        <f t="shared" si="0"/>
        <v>6666.666666666667</v>
      </c>
      <c r="H60" s="42">
        <f t="shared" si="1"/>
        <v>3866.6666666666665</v>
      </c>
      <c r="I60" s="55"/>
    </row>
    <row r="61" spans="1:9" s="3" customFormat="1" ht="21" customHeight="1" thickBot="1">
      <c r="B61" s="15"/>
      <c r="C61" s="9"/>
      <c r="D61" s="10"/>
      <c r="E61" s="10"/>
      <c r="F61" s="97" t="s">
        <v>106</v>
      </c>
      <c r="G61" s="98"/>
      <c r="H61" s="43">
        <f>SUM(H55:H60)</f>
        <v>16994</v>
      </c>
      <c r="I61" s="56"/>
    </row>
    <row r="62" spans="1:9" s="3" customFormat="1" ht="6" customHeight="1"/>
    <row r="63" spans="1:9" s="3" customFormat="1" ht="13.5" thickBot="1">
      <c r="A63" s="2" t="s">
        <v>32</v>
      </c>
    </row>
    <row r="64" spans="1:9" s="1" customFormat="1" ht="39" thickBot="1">
      <c r="A64" s="12" t="s">
        <v>8</v>
      </c>
      <c r="B64" s="13" t="s">
        <v>23</v>
      </c>
      <c r="C64" s="13" t="s">
        <v>25</v>
      </c>
      <c r="D64" s="14" t="s">
        <v>26</v>
      </c>
      <c r="E64" s="5"/>
      <c r="F64" s="5"/>
      <c r="G64" s="5"/>
      <c r="H64" s="5"/>
      <c r="I64" s="5"/>
    </row>
    <row r="65" spans="1:11" s="3" customFormat="1" ht="25.5">
      <c r="A65" s="11">
        <v>1</v>
      </c>
      <c r="B65" s="17" t="s">
        <v>24</v>
      </c>
      <c r="C65" s="44">
        <v>18000</v>
      </c>
      <c r="D65" s="44">
        <f>18000*15/12</f>
        <v>22500</v>
      </c>
      <c r="E65" s="3" t="s">
        <v>107</v>
      </c>
    </row>
    <row r="66" spans="1:11" s="3" customFormat="1">
      <c r="A66" s="7">
        <v>2</v>
      </c>
      <c r="B66" s="16" t="s">
        <v>27</v>
      </c>
      <c r="C66" s="7">
        <v>10500</v>
      </c>
      <c r="D66" s="45">
        <f>C66*14/12</f>
        <v>12250</v>
      </c>
      <c r="E66" s="3" t="s">
        <v>108</v>
      </c>
    </row>
    <row r="67" spans="1:11" s="3" customFormat="1">
      <c r="A67" s="7">
        <v>3</v>
      </c>
      <c r="B67" s="7" t="s">
        <v>28</v>
      </c>
      <c r="C67" s="7">
        <v>7500</v>
      </c>
      <c r="D67" s="45">
        <f t="shared" ref="D67:D68" si="3">C67*14/12</f>
        <v>8750</v>
      </c>
      <c r="E67" s="3" t="s">
        <v>108</v>
      </c>
    </row>
    <row r="68" spans="1:11" s="3" customFormat="1" ht="13.5" thickBot="1">
      <c r="A68" s="7">
        <v>4</v>
      </c>
      <c r="B68" s="18" t="s">
        <v>29</v>
      </c>
      <c r="C68" s="47">
        <v>5000</v>
      </c>
      <c r="D68" s="46">
        <f t="shared" si="3"/>
        <v>5833.333333333333</v>
      </c>
      <c r="E68" s="3" t="s">
        <v>108</v>
      </c>
    </row>
    <row r="69" spans="1:11" s="3" customFormat="1" ht="18" customHeight="1" thickBot="1">
      <c r="B69" s="99" t="s">
        <v>114</v>
      </c>
      <c r="C69" s="98"/>
      <c r="D69" s="43">
        <f>SUM(D65:D68)</f>
        <v>49333.333333333336</v>
      </c>
      <c r="E69" s="3" t="s">
        <v>109</v>
      </c>
    </row>
    <row r="70" spans="1:11" s="3" customFormat="1"/>
    <row r="71" spans="1:11" s="3" customFormat="1">
      <c r="A71" s="2" t="s">
        <v>30</v>
      </c>
    </row>
    <row r="72" spans="1:11" s="3" customFormat="1" ht="26.25" customHeight="1">
      <c r="B72" s="95" t="s">
        <v>31</v>
      </c>
      <c r="C72" s="95"/>
      <c r="D72" s="95"/>
      <c r="E72" s="95"/>
      <c r="F72" s="95"/>
      <c r="G72" s="95"/>
      <c r="H72" s="95"/>
      <c r="I72" s="22"/>
    </row>
    <row r="73" spans="1:11" s="3" customFormat="1" ht="32.25" customHeight="1">
      <c r="B73" s="22"/>
      <c r="C73" s="22"/>
      <c r="D73" s="51" t="s">
        <v>116</v>
      </c>
      <c r="E73" s="22"/>
      <c r="F73" s="22"/>
      <c r="G73" s="22"/>
      <c r="H73" s="22"/>
      <c r="I73" s="22"/>
    </row>
    <row r="74" spans="1:11" s="3" customFormat="1" ht="15" customHeight="1">
      <c r="C74" s="50" t="s">
        <v>115</v>
      </c>
      <c r="D74" s="45">
        <f>60000/12</f>
        <v>5000</v>
      </c>
    </row>
    <row r="75" spans="1:11" s="3" customFormat="1" ht="15" customHeight="1">
      <c r="C75" s="52"/>
      <c r="D75" s="53"/>
    </row>
    <row r="76" spans="1:11" s="3" customFormat="1">
      <c r="A76" s="2" t="s">
        <v>34</v>
      </c>
      <c r="H76" s="57" t="s">
        <v>119</v>
      </c>
    </row>
    <row r="77" spans="1:11" s="3" customFormat="1">
      <c r="B77" s="3" t="s">
        <v>45</v>
      </c>
      <c r="H77" s="48" t="s">
        <v>120</v>
      </c>
      <c r="I77" s="48"/>
      <c r="J77" s="57">
        <f>3*12</f>
        <v>36</v>
      </c>
      <c r="K77" s="48" t="s">
        <v>121</v>
      </c>
    </row>
    <row r="78" spans="1:11" s="3" customFormat="1">
      <c r="B78" s="3" t="s">
        <v>46</v>
      </c>
      <c r="H78" s="48" t="s">
        <v>123</v>
      </c>
      <c r="I78" s="48"/>
      <c r="J78" s="57">
        <f>J77*2160</f>
        <v>77760</v>
      </c>
      <c r="K78" s="48" t="s">
        <v>122</v>
      </c>
    </row>
    <row r="79" spans="1:11" s="3" customFormat="1">
      <c r="H79" s="48" t="s">
        <v>124</v>
      </c>
      <c r="I79" s="48"/>
      <c r="J79" s="57">
        <f>J78*6</f>
        <v>466560</v>
      </c>
      <c r="K79" s="48" t="s">
        <v>125</v>
      </c>
    </row>
    <row r="80" spans="1:11" s="3" customFormat="1">
      <c r="A80" s="57" t="s">
        <v>110</v>
      </c>
      <c r="B80" s="57"/>
      <c r="C80" s="63" t="s">
        <v>113</v>
      </c>
      <c r="H80" s="48"/>
      <c r="I80" s="48"/>
      <c r="J80" s="48"/>
      <c r="K80" s="48"/>
    </row>
    <row r="81" spans="1:12" s="3" customFormat="1">
      <c r="A81" s="57">
        <v>1</v>
      </c>
      <c r="B81" s="57" t="s">
        <v>111</v>
      </c>
      <c r="C81" s="62">
        <f>H61</f>
        <v>16994</v>
      </c>
      <c r="H81" s="57" t="s">
        <v>126</v>
      </c>
      <c r="I81" s="48"/>
      <c r="J81" s="48"/>
      <c r="K81" s="48"/>
      <c r="L81" s="48"/>
    </row>
    <row r="82" spans="1:12" s="3" customFormat="1">
      <c r="A82" s="57">
        <v>2</v>
      </c>
      <c r="B82" s="57" t="s">
        <v>112</v>
      </c>
      <c r="C82" s="62">
        <f>D69</f>
        <v>49333.333333333336</v>
      </c>
      <c r="H82" s="48" t="s">
        <v>127</v>
      </c>
      <c r="I82" s="48"/>
      <c r="J82" s="48" t="s">
        <v>129</v>
      </c>
      <c r="K82" s="48">
        <f>45*30*15</f>
        <v>20250</v>
      </c>
      <c r="L82" s="48" t="s">
        <v>130</v>
      </c>
    </row>
    <row r="83" spans="1:12" s="3" customFormat="1">
      <c r="A83" s="57">
        <v>3</v>
      </c>
      <c r="B83" s="57" t="s">
        <v>117</v>
      </c>
      <c r="C83" s="57">
        <f>D74</f>
        <v>5000</v>
      </c>
      <c r="H83" s="48" t="s">
        <v>128</v>
      </c>
      <c r="I83" s="48"/>
      <c r="J83" s="48" t="s">
        <v>129</v>
      </c>
      <c r="K83" s="48">
        <f>90*60*45</f>
        <v>243000</v>
      </c>
      <c r="L83" s="48" t="s">
        <v>130</v>
      </c>
    </row>
    <row r="84" spans="1:12" s="3" customFormat="1">
      <c r="A84" s="57">
        <v>4</v>
      </c>
      <c r="B84" s="57" t="s">
        <v>144</v>
      </c>
      <c r="C84" s="62">
        <f>K95</f>
        <v>355168.8</v>
      </c>
      <c r="H84" s="48"/>
      <c r="I84" s="48"/>
      <c r="J84" s="48"/>
      <c r="K84" s="48"/>
      <c r="L84" s="48"/>
    </row>
    <row r="85" spans="1:12" s="3" customFormat="1">
      <c r="A85" s="57"/>
      <c r="B85" s="71" t="s">
        <v>145</v>
      </c>
      <c r="C85" s="72">
        <f>SUM(C81:C84)</f>
        <v>426496.1333333333</v>
      </c>
      <c r="D85" s="57" t="s">
        <v>148</v>
      </c>
      <c r="H85" s="57" t="s">
        <v>131</v>
      </c>
      <c r="I85" s="48"/>
      <c r="J85" s="48"/>
      <c r="K85" s="48"/>
      <c r="L85" s="48"/>
    </row>
    <row r="86" spans="1:12" s="3" customFormat="1">
      <c r="A86" s="57">
        <v>5</v>
      </c>
      <c r="B86" s="57" t="s">
        <v>146</v>
      </c>
      <c r="C86" s="62">
        <f>C85*0.1</f>
        <v>42649.613333333335</v>
      </c>
      <c r="H86" s="48"/>
      <c r="I86" s="48"/>
      <c r="J86" s="49" t="s">
        <v>134</v>
      </c>
      <c r="K86" s="57">
        <f>K83/K82</f>
        <v>12</v>
      </c>
      <c r="L86" s="57" t="s">
        <v>132</v>
      </c>
    </row>
    <row r="87" spans="1:12" s="3" customFormat="1">
      <c r="A87" s="57">
        <v>6</v>
      </c>
      <c r="B87" s="57" t="s">
        <v>147</v>
      </c>
      <c r="C87" s="62">
        <f>C85*0.06</f>
        <v>25589.767999999996</v>
      </c>
      <c r="H87" s="48"/>
      <c r="I87" s="48"/>
      <c r="J87" s="48"/>
      <c r="K87" s="48"/>
      <c r="L87" s="48"/>
    </row>
    <row r="88" spans="1:12" s="3" customFormat="1">
      <c r="A88" s="68" t="s">
        <v>149</v>
      </c>
      <c r="B88" s="69"/>
      <c r="C88" s="70">
        <f>SUM(C85:C87)</f>
        <v>494735.51466666663</v>
      </c>
      <c r="D88" s="48" t="s">
        <v>155</v>
      </c>
      <c r="H88" s="57" t="s">
        <v>133</v>
      </c>
      <c r="I88" s="48"/>
      <c r="J88" s="48"/>
      <c r="K88" s="48"/>
      <c r="L88" s="48"/>
    </row>
    <row r="89" spans="1:12" s="3" customFormat="1">
      <c r="H89" s="48" t="s">
        <v>135</v>
      </c>
      <c r="I89" s="48"/>
      <c r="J89" s="48"/>
      <c r="K89" s="57">
        <f>2160/12</f>
        <v>180</v>
      </c>
      <c r="L89" s="57" t="s">
        <v>136</v>
      </c>
    </row>
    <row r="90" spans="1:12" s="3" customFormat="1">
      <c r="H90" s="48"/>
      <c r="I90" s="48"/>
      <c r="J90" s="48"/>
      <c r="K90" s="57">
        <f>K89/30</f>
        <v>6</v>
      </c>
      <c r="L90" s="57" t="s">
        <v>165</v>
      </c>
    </row>
    <row r="91" spans="1:12" s="3" customFormat="1">
      <c r="H91" s="57" t="s">
        <v>118</v>
      </c>
      <c r="I91" s="48"/>
      <c r="J91" s="48"/>
      <c r="K91" s="48"/>
      <c r="L91" s="48"/>
    </row>
    <row r="92" spans="1:12" s="3" customFormat="1">
      <c r="H92" s="48" t="s">
        <v>137</v>
      </c>
      <c r="I92" s="48"/>
      <c r="J92" s="48"/>
      <c r="K92" s="57">
        <f>90*60*45/6000</f>
        <v>40.5</v>
      </c>
      <c r="L92" s="57" t="s">
        <v>138</v>
      </c>
    </row>
    <row r="93" spans="1:12" s="3" customFormat="1">
      <c r="H93" s="48" t="s">
        <v>139</v>
      </c>
      <c r="I93" s="48"/>
      <c r="J93" s="48"/>
      <c r="K93" s="57">
        <f>K92*7</f>
        <v>283.5</v>
      </c>
      <c r="L93" s="57" t="s">
        <v>140</v>
      </c>
    </row>
    <row r="94" spans="1:12" s="3" customFormat="1">
      <c r="H94" s="48" t="s">
        <v>141</v>
      </c>
      <c r="I94" s="48"/>
      <c r="J94" s="48"/>
      <c r="K94" s="57">
        <f>K93*180</f>
        <v>51030</v>
      </c>
      <c r="L94" s="57" t="s">
        <v>142</v>
      </c>
    </row>
    <row r="95" spans="1:12" s="3" customFormat="1">
      <c r="H95" s="48"/>
      <c r="I95" s="48"/>
      <c r="J95" s="48"/>
      <c r="K95" s="58">
        <f>K94*6.96</f>
        <v>355168.8</v>
      </c>
      <c r="L95" s="59" t="s">
        <v>113</v>
      </c>
    </row>
    <row r="96" spans="1:12" s="3" customFormat="1">
      <c r="A96" s="2" t="s">
        <v>39</v>
      </c>
      <c r="K96" s="65">
        <f>K95/J78</f>
        <v>4.5674999999999999</v>
      </c>
      <c r="L96" s="59" t="s">
        <v>143</v>
      </c>
    </row>
    <row r="97" spans="1:8" s="3" customFormat="1">
      <c r="A97" s="6" t="s">
        <v>36</v>
      </c>
      <c r="B97" s="3" t="s">
        <v>42</v>
      </c>
    </row>
    <row r="98" spans="1:8" s="3" customFormat="1">
      <c r="A98" s="6"/>
    </row>
    <row r="99" spans="1:8" s="3" customFormat="1">
      <c r="A99" s="6"/>
      <c r="B99" s="100" t="s">
        <v>166</v>
      </c>
      <c r="C99" s="100"/>
      <c r="D99" s="100"/>
      <c r="E99" s="101"/>
      <c r="F99" s="64">
        <f>C88/2160</f>
        <v>229.0442197530864</v>
      </c>
      <c r="G99" s="59" t="s">
        <v>150</v>
      </c>
      <c r="H99" s="48" t="s">
        <v>189</v>
      </c>
    </row>
    <row r="100" spans="1:8" s="3" customFormat="1">
      <c r="A100" s="6"/>
    </row>
    <row r="101" spans="1:8" s="3" customFormat="1">
      <c r="A101" s="6" t="s">
        <v>35</v>
      </c>
      <c r="B101" s="3" t="s">
        <v>48</v>
      </c>
    </row>
    <row r="102" spans="1:8" s="3" customFormat="1">
      <c r="A102" s="6"/>
    </row>
    <row r="103" spans="1:8" s="3" customFormat="1">
      <c r="A103" s="6"/>
      <c r="B103" s="75" t="s">
        <v>151</v>
      </c>
      <c r="C103" s="76">
        <f>F99/J77</f>
        <v>6.3623394375857334</v>
      </c>
      <c r="D103" s="77" t="s">
        <v>152</v>
      </c>
    </row>
    <row r="104" spans="1:8" s="3" customFormat="1">
      <c r="A104" s="6"/>
      <c r="C104" s="60"/>
    </row>
    <row r="105" spans="1:8" s="3" customFormat="1">
      <c r="A105" s="6" t="s">
        <v>37</v>
      </c>
      <c r="B105" s="3" t="s">
        <v>43</v>
      </c>
    </row>
    <row r="106" spans="1:8" s="3" customFormat="1">
      <c r="A106" s="6"/>
    </row>
    <row r="107" spans="1:8" s="3" customFormat="1">
      <c r="A107" s="6"/>
      <c r="B107" s="75" t="s">
        <v>153</v>
      </c>
      <c r="C107" s="78">
        <f>C103*1.3</f>
        <v>8.2710412688614543</v>
      </c>
      <c r="D107" s="79" t="s">
        <v>152</v>
      </c>
    </row>
    <row r="108" spans="1:8" s="3" customFormat="1">
      <c r="A108" s="6"/>
      <c r="B108" s="75" t="s">
        <v>153</v>
      </c>
      <c r="C108" s="78">
        <f>C107/6.96</f>
        <v>1.1883679983996343</v>
      </c>
      <c r="D108" s="79" t="s">
        <v>140</v>
      </c>
    </row>
    <row r="109" spans="1:8" s="3" customFormat="1">
      <c r="A109" s="6"/>
      <c r="B109" s="75" t="s">
        <v>153</v>
      </c>
      <c r="C109" s="78">
        <f>C107/9.51</f>
        <v>0.86972042785083647</v>
      </c>
      <c r="D109" s="79" t="s">
        <v>154</v>
      </c>
    </row>
    <row r="110" spans="1:8" s="85" customFormat="1">
      <c r="A110" s="81"/>
      <c r="B110" s="82"/>
      <c r="C110" s="83"/>
      <c r="D110" s="84"/>
    </row>
    <row r="111" spans="1:8" s="85" customFormat="1">
      <c r="A111" s="81"/>
      <c r="B111" s="86" t="s">
        <v>178</v>
      </c>
      <c r="C111" s="83"/>
      <c r="D111" s="84"/>
    </row>
    <row r="112" spans="1:8" s="85" customFormat="1">
      <c r="A112" s="81"/>
      <c r="B112" s="90" t="s">
        <v>179</v>
      </c>
      <c r="C112" s="87"/>
      <c r="D112" s="88"/>
      <c r="E112" s="89"/>
    </row>
    <row r="113" spans="1:9" s="85" customFormat="1">
      <c r="A113" s="81"/>
      <c r="B113" s="90" t="s">
        <v>180</v>
      </c>
      <c r="C113" s="87"/>
      <c r="D113" s="88"/>
      <c r="E113" s="89"/>
    </row>
    <row r="114" spans="1:9" s="85" customFormat="1">
      <c r="A114" s="81"/>
      <c r="B114" s="90" t="s">
        <v>185</v>
      </c>
      <c r="C114" s="87"/>
      <c r="D114" s="88"/>
      <c r="E114" s="89"/>
    </row>
    <row r="115" spans="1:9" s="3" customFormat="1">
      <c r="A115" s="6"/>
      <c r="B115" s="73" t="s">
        <v>186</v>
      </c>
      <c r="C115" s="60"/>
    </row>
    <row r="116" spans="1:9" s="3" customFormat="1">
      <c r="A116" s="6"/>
      <c r="B116" s="74" t="s">
        <v>181</v>
      </c>
      <c r="C116" s="60"/>
    </row>
    <row r="117" spans="1:9" s="3" customFormat="1">
      <c r="A117" s="6"/>
      <c r="B117" s="73"/>
      <c r="C117" s="60"/>
    </row>
    <row r="118" spans="1:9" s="3" customFormat="1">
      <c r="A118" s="6" t="s">
        <v>47</v>
      </c>
      <c r="B118" s="3" t="s">
        <v>52</v>
      </c>
    </row>
    <row r="119" spans="1:9" s="3" customFormat="1">
      <c r="A119" s="6"/>
    </row>
    <row r="120" spans="1:9" s="3" customFormat="1">
      <c r="A120" s="6"/>
      <c r="B120" s="48" t="s">
        <v>156</v>
      </c>
      <c r="C120" s="48"/>
      <c r="D120" s="48"/>
      <c r="E120" s="48"/>
    </row>
    <row r="121" spans="1:9" s="3" customFormat="1">
      <c r="A121" s="6"/>
      <c r="B121" s="66" t="s">
        <v>157</v>
      </c>
      <c r="C121" s="61">
        <f>C107*J78</f>
        <v>643156.16906666674</v>
      </c>
      <c r="D121" s="57" t="s">
        <v>150</v>
      </c>
      <c r="E121" s="48"/>
    </row>
    <row r="122" spans="1:9" s="3" customFormat="1">
      <c r="A122" s="6"/>
      <c r="B122" s="73" t="s">
        <v>158</v>
      </c>
    </row>
    <row r="123" spans="1:9" s="3" customFormat="1">
      <c r="A123" s="6"/>
      <c r="B123" s="66" t="s">
        <v>159</v>
      </c>
      <c r="C123" s="62">
        <f>C85</f>
        <v>426496.1333333333</v>
      </c>
      <c r="D123" s="57" t="s">
        <v>150</v>
      </c>
    </row>
    <row r="124" spans="1:9" s="3" customFormat="1">
      <c r="A124" s="49"/>
      <c r="B124" s="66"/>
      <c r="C124" s="62"/>
      <c r="D124" s="48"/>
      <c r="E124" s="48"/>
      <c r="F124" s="48"/>
      <c r="G124" s="48"/>
    </row>
    <row r="125" spans="1:9" s="3" customFormat="1">
      <c r="A125" s="49"/>
      <c r="B125" s="73" t="s">
        <v>160</v>
      </c>
      <c r="C125" s="62"/>
      <c r="D125" s="48"/>
      <c r="E125" s="48"/>
      <c r="F125" s="48"/>
      <c r="G125" s="48"/>
    </row>
    <row r="126" spans="1:9" s="3" customFormat="1">
      <c r="A126" s="49"/>
      <c r="B126" s="66" t="s">
        <v>161</v>
      </c>
      <c r="C126" s="62">
        <f>C121-C123</f>
        <v>216660.03573333344</v>
      </c>
      <c r="D126" s="57" t="s">
        <v>152</v>
      </c>
      <c r="E126" s="57" t="s">
        <v>162</v>
      </c>
      <c r="F126" s="57">
        <f>C126/C123*100</f>
        <v>50.800000000000033</v>
      </c>
      <c r="G126" s="57" t="s">
        <v>163</v>
      </c>
    </row>
    <row r="127" spans="1:9" s="3" customFormat="1">
      <c r="A127" s="49"/>
      <c r="B127" s="48"/>
      <c r="C127" s="48"/>
      <c r="D127" s="48"/>
      <c r="E127" s="48"/>
      <c r="F127" s="48"/>
      <c r="G127" s="48"/>
    </row>
    <row r="128" spans="1:9" s="3" customFormat="1" ht="27" customHeight="1">
      <c r="A128" s="96" t="s">
        <v>164</v>
      </c>
      <c r="B128" s="95"/>
      <c r="C128" s="95"/>
      <c r="D128" s="95"/>
      <c r="E128" s="95"/>
      <c r="F128" s="95"/>
      <c r="G128" s="95"/>
      <c r="H128" s="95"/>
      <c r="I128" s="22"/>
    </row>
    <row r="129" spans="2:7" s="3" customFormat="1"/>
    <row r="130" spans="2:7" s="3" customFormat="1">
      <c r="B130" s="57" t="s">
        <v>167</v>
      </c>
      <c r="C130" s="48" t="s">
        <v>168</v>
      </c>
      <c r="D130" s="48"/>
      <c r="E130" s="48"/>
    </row>
    <row r="131" spans="2:7" s="3" customFormat="1">
      <c r="B131" s="80"/>
      <c r="C131" s="48" t="s">
        <v>169</v>
      </c>
      <c r="D131" s="48"/>
      <c r="E131" s="48"/>
    </row>
    <row r="132" spans="2:7" s="3" customFormat="1">
      <c r="B132" s="48"/>
      <c r="C132" s="48"/>
      <c r="D132" s="48"/>
      <c r="E132" s="48"/>
    </row>
    <row r="133" spans="2:7" s="3" customFormat="1">
      <c r="B133" s="48"/>
      <c r="C133" s="49" t="s">
        <v>170</v>
      </c>
      <c r="D133" s="67">
        <f>C103</f>
        <v>6.3623394375857334</v>
      </c>
      <c r="E133" s="48" t="s">
        <v>176</v>
      </c>
    </row>
    <row r="134" spans="2:7" s="3" customFormat="1">
      <c r="B134" s="48"/>
      <c r="C134" s="48" t="s">
        <v>171</v>
      </c>
      <c r="D134" s="48"/>
      <c r="E134" s="48"/>
    </row>
    <row r="135" spans="2:7" s="3" customFormat="1">
      <c r="B135" s="48"/>
      <c r="C135" s="49" t="s">
        <v>172</v>
      </c>
      <c r="D135" s="48">
        <f>J78*5</f>
        <v>388800</v>
      </c>
      <c r="E135" s="48"/>
    </row>
    <row r="136" spans="2:7" s="3" customFormat="1">
      <c r="B136" s="48"/>
      <c r="C136" s="73" t="s">
        <v>173</v>
      </c>
      <c r="D136" s="48">
        <f>LOG(0.95)/LOG(2)</f>
        <v>-7.4000581443776914E-2</v>
      </c>
      <c r="E136" s="48"/>
    </row>
    <row r="137" spans="2:7" s="3" customFormat="1">
      <c r="B137" s="48"/>
      <c r="C137" s="48"/>
      <c r="D137" s="48"/>
      <c r="E137" s="48"/>
    </row>
    <row r="138" spans="2:7" s="3" customFormat="1">
      <c r="B138" s="48"/>
      <c r="C138" s="49" t="s">
        <v>174</v>
      </c>
      <c r="D138" s="67">
        <f>D133*(D135)^-0.07400581</f>
        <v>2.4543958965956416</v>
      </c>
      <c r="E138" s="48"/>
    </row>
    <row r="139" spans="2:7" s="3" customFormat="1"/>
    <row r="140" spans="2:7" s="3" customFormat="1">
      <c r="B140" s="91" t="s">
        <v>175</v>
      </c>
      <c r="C140" s="92"/>
      <c r="D140" s="92"/>
      <c r="E140" s="93"/>
    </row>
    <row r="141" spans="2:7" s="3" customFormat="1"/>
    <row r="142" spans="2:7" s="3" customFormat="1"/>
    <row r="143" spans="2:7" s="3" customFormat="1">
      <c r="B143" s="94" t="s">
        <v>182</v>
      </c>
      <c r="C143" s="94"/>
      <c r="D143" s="94"/>
      <c r="E143" s="94"/>
      <c r="F143" s="94"/>
      <c r="G143" s="94"/>
    </row>
    <row r="144" spans="2:7" s="3" customFormat="1">
      <c r="B144" s="94" t="s">
        <v>183</v>
      </c>
      <c r="C144" s="94"/>
      <c r="D144" s="94"/>
      <c r="E144" s="94"/>
      <c r="F144" s="94"/>
      <c r="G144" s="94"/>
    </row>
    <row r="145" spans="1:2" s="3" customFormat="1">
      <c r="B145" s="3" t="s">
        <v>184</v>
      </c>
    </row>
    <row r="146" spans="1:2" s="3" customFormat="1"/>
    <row r="147" spans="1:2" s="3" customFormat="1">
      <c r="A147" s="2" t="s">
        <v>188</v>
      </c>
    </row>
    <row r="148" spans="1:2" s="3" customFormat="1"/>
    <row r="149" spans="1:2" s="3" customFormat="1"/>
  </sheetData>
  <mergeCells count="12">
    <mergeCell ref="B69:C69"/>
    <mergeCell ref="B99:E99"/>
    <mergeCell ref="A4:H4"/>
    <mergeCell ref="A11:H11"/>
    <mergeCell ref="A17:H17"/>
    <mergeCell ref="A7:H7"/>
    <mergeCell ref="F61:G61"/>
    <mergeCell ref="B140:E140"/>
    <mergeCell ref="B143:G143"/>
    <mergeCell ref="B144:G144"/>
    <mergeCell ref="B72:H72"/>
    <mergeCell ref="A128:H128"/>
  </mergeCells>
  <phoneticPr fontId="0" type="noConversion"/>
  <pageMargins left="0.43" right="0.75" top="0.33" bottom="0.43" header="0.28000000000000003" footer="0"/>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A1:H47"/>
  <sheetViews>
    <sheetView workbookViewId="0">
      <selection activeCell="K20" sqref="K20"/>
    </sheetView>
  </sheetViews>
  <sheetFormatPr baseColWidth="10" defaultRowHeight="12.75"/>
  <cols>
    <col min="2" max="2" width="5.140625" bestFit="1" customWidth="1"/>
    <col min="3" max="3" width="29.42578125" customWidth="1"/>
    <col min="4" max="4" width="8.7109375" customWidth="1"/>
    <col min="5" max="5" width="7.85546875" customWidth="1"/>
    <col min="6" max="6" width="7.42578125" customWidth="1"/>
    <col min="7" max="7" width="13.5703125" customWidth="1"/>
  </cols>
  <sheetData>
    <row r="1" spans="1:8">
      <c r="A1" s="102" t="s">
        <v>100</v>
      </c>
      <c r="B1" s="102"/>
      <c r="C1" s="102"/>
      <c r="D1" s="102"/>
      <c r="E1" s="102"/>
      <c r="F1" s="102"/>
      <c r="G1" s="102"/>
      <c r="H1" s="102"/>
    </row>
    <row r="2" spans="1:8">
      <c r="A2" s="37" t="s">
        <v>101</v>
      </c>
    </row>
    <row r="4" spans="1:8" ht="13.5" thickBot="1">
      <c r="A4" t="s">
        <v>87</v>
      </c>
    </row>
    <row r="5" spans="1:8" s="23" customFormat="1" ht="39" thickBot="1">
      <c r="B5" s="26" t="s">
        <v>54</v>
      </c>
      <c r="C5" s="27" t="s">
        <v>55</v>
      </c>
      <c r="D5" s="28" t="s">
        <v>56</v>
      </c>
      <c r="E5" s="28" t="s">
        <v>57</v>
      </c>
      <c r="F5" s="28" t="s">
        <v>83</v>
      </c>
      <c r="G5" s="29" t="s">
        <v>84</v>
      </c>
    </row>
    <row r="6" spans="1:8">
      <c r="B6" s="25">
        <v>1</v>
      </c>
      <c r="C6" s="25" t="s">
        <v>58</v>
      </c>
      <c r="D6" s="25">
        <v>5</v>
      </c>
      <c r="E6" s="25">
        <v>2</v>
      </c>
      <c r="F6" s="25"/>
      <c r="G6" s="25"/>
    </row>
    <row r="7" spans="1:8">
      <c r="B7" s="24">
        <v>2</v>
      </c>
      <c r="C7" s="24" t="s">
        <v>59</v>
      </c>
      <c r="D7" s="24">
        <v>0.25</v>
      </c>
      <c r="E7" s="24">
        <v>0.3</v>
      </c>
      <c r="F7" s="24"/>
      <c r="G7" s="24"/>
    </row>
    <row r="8" spans="1:8">
      <c r="B8" s="24">
        <v>3</v>
      </c>
      <c r="C8" s="24" t="s">
        <v>60</v>
      </c>
      <c r="D8" s="24">
        <v>4</v>
      </c>
      <c r="E8" s="24">
        <v>6</v>
      </c>
      <c r="F8" s="24"/>
      <c r="G8" s="24"/>
    </row>
    <row r="9" spans="1:8">
      <c r="B9" s="24">
        <v>4</v>
      </c>
      <c r="C9" s="24" t="s">
        <v>62</v>
      </c>
      <c r="D9" s="24">
        <v>3</v>
      </c>
      <c r="E9" s="24">
        <v>1.5</v>
      </c>
      <c r="F9" s="24"/>
      <c r="G9" s="24"/>
    </row>
    <row r="10" spans="1:8">
      <c r="B10" s="24">
        <v>5</v>
      </c>
      <c r="C10" s="24" t="s">
        <v>61</v>
      </c>
      <c r="D10" s="24">
        <v>3</v>
      </c>
      <c r="E10" s="24">
        <v>5</v>
      </c>
      <c r="F10" s="24"/>
      <c r="G10" s="24"/>
    </row>
    <row r="11" spans="1:8">
      <c r="B11" s="24">
        <v>6</v>
      </c>
      <c r="C11" s="24" t="s">
        <v>63</v>
      </c>
      <c r="D11" s="24">
        <v>5</v>
      </c>
      <c r="E11" s="24">
        <v>5</v>
      </c>
      <c r="F11" s="24"/>
      <c r="G11" s="24"/>
    </row>
    <row r="12" spans="1:8">
      <c r="B12" s="24">
        <v>7</v>
      </c>
      <c r="C12" s="24" t="s">
        <v>79</v>
      </c>
      <c r="D12" s="24">
        <v>2</v>
      </c>
      <c r="E12" s="24">
        <v>1.2</v>
      </c>
      <c r="F12" s="24"/>
      <c r="G12" s="24"/>
    </row>
    <row r="13" spans="1:8">
      <c r="B13" s="24">
        <v>8</v>
      </c>
      <c r="C13" s="24" t="s">
        <v>64</v>
      </c>
      <c r="D13" s="24">
        <v>6</v>
      </c>
      <c r="E13" s="24">
        <v>9</v>
      </c>
      <c r="F13" s="24"/>
      <c r="G13" s="24"/>
    </row>
    <row r="14" spans="1:8">
      <c r="B14" s="24">
        <v>9</v>
      </c>
      <c r="C14" s="24" t="s">
        <v>65</v>
      </c>
      <c r="D14" s="24">
        <v>0.45</v>
      </c>
      <c r="E14" s="24">
        <v>0.3</v>
      </c>
      <c r="F14" s="24"/>
      <c r="G14" s="24"/>
    </row>
    <row r="15" spans="1:8">
      <c r="B15" s="24">
        <v>10</v>
      </c>
      <c r="C15" s="24" t="s">
        <v>66</v>
      </c>
      <c r="D15" s="24">
        <v>0.5</v>
      </c>
      <c r="E15" s="24">
        <v>1</v>
      </c>
      <c r="F15" s="24"/>
      <c r="G15" s="24"/>
    </row>
    <row r="16" spans="1:8">
      <c r="B16" s="24">
        <v>11</v>
      </c>
      <c r="C16" s="24" t="s">
        <v>81</v>
      </c>
      <c r="D16" s="24">
        <v>3</v>
      </c>
      <c r="E16" s="24">
        <v>6</v>
      </c>
      <c r="F16" s="24"/>
      <c r="G16" s="24"/>
    </row>
    <row r="17" spans="2:7">
      <c r="B17" s="24">
        <v>12</v>
      </c>
      <c r="C17" s="24" t="s">
        <v>67</v>
      </c>
      <c r="D17" s="24">
        <v>1</v>
      </c>
      <c r="E17" s="24">
        <v>0.6</v>
      </c>
      <c r="F17" s="24"/>
      <c r="G17" s="24"/>
    </row>
    <row r="18" spans="2:7">
      <c r="B18" s="24">
        <v>13</v>
      </c>
      <c r="C18" s="24" t="s">
        <v>82</v>
      </c>
      <c r="D18" s="24">
        <v>2.5</v>
      </c>
      <c r="E18" s="24">
        <v>5</v>
      </c>
      <c r="F18" s="24"/>
      <c r="G18" s="24"/>
    </row>
    <row r="19" spans="2:7">
      <c r="B19" s="24">
        <v>14</v>
      </c>
      <c r="C19" s="24" t="s">
        <v>68</v>
      </c>
      <c r="D19" s="24">
        <v>2</v>
      </c>
      <c r="E19" s="24">
        <v>2.5</v>
      </c>
      <c r="F19" s="24"/>
      <c r="G19" s="24"/>
    </row>
    <row r="20" spans="2:7">
      <c r="B20" s="24">
        <v>15</v>
      </c>
      <c r="C20" s="24" t="s">
        <v>69</v>
      </c>
      <c r="D20" s="24">
        <v>1.5</v>
      </c>
      <c r="E20" s="24">
        <v>1.4</v>
      </c>
      <c r="F20" s="24"/>
      <c r="G20" s="24"/>
    </row>
    <row r="21" spans="2:7">
      <c r="B21" s="24">
        <v>16</v>
      </c>
      <c r="C21" s="24" t="s">
        <v>70</v>
      </c>
      <c r="D21" s="24">
        <v>2</v>
      </c>
      <c r="E21" s="24">
        <v>5</v>
      </c>
      <c r="F21" s="24"/>
      <c r="G21" s="24"/>
    </row>
    <row r="22" spans="2:7">
      <c r="B22" s="24">
        <v>17</v>
      </c>
      <c r="C22" s="24" t="s">
        <v>71</v>
      </c>
      <c r="D22" s="24">
        <v>3.6</v>
      </c>
      <c r="E22" s="24">
        <v>6</v>
      </c>
      <c r="F22" s="24"/>
      <c r="G22" s="24"/>
    </row>
    <row r="23" spans="2:7">
      <c r="B23" s="24">
        <v>18</v>
      </c>
      <c r="C23" s="24" t="s">
        <v>72</v>
      </c>
      <c r="D23" s="24">
        <v>4.5</v>
      </c>
      <c r="E23" s="24">
        <v>5</v>
      </c>
      <c r="F23" s="24"/>
      <c r="G23" s="24"/>
    </row>
    <row r="24" spans="2:7">
      <c r="B24" s="24">
        <v>19</v>
      </c>
      <c r="C24" s="24" t="s">
        <v>73</v>
      </c>
      <c r="D24" s="24">
        <v>3</v>
      </c>
      <c r="E24" s="24">
        <v>5</v>
      </c>
      <c r="F24" s="24"/>
      <c r="G24" s="24"/>
    </row>
    <row r="25" spans="2:7">
      <c r="B25" s="24">
        <v>20</v>
      </c>
      <c r="C25" s="24" t="s">
        <v>80</v>
      </c>
      <c r="D25" s="24">
        <v>3</v>
      </c>
      <c r="E25" s="24">
        <v>2</v>
      </c>
      <c r="F25" s="24"/>
      <c r="G25" s="24"/>
    </row>
    <row r="26" spans="2:7">
      <c r="B26" s="24">
        <v>21</v>
      </c>
      <c r="C26" s="24" t="s">
        <v>74</v>
      </c>
      <c r="D26" s="24">
        <v>2</v>
      </c>
      <c r="E26" s="24">
        <v>6</v>
      </c>
      <c r="F26" s="24"/>
      <c r="G26" s="24"/>
    </row>
    <row r="27" spans="2:7">
      <c r="B27" s="24">
        <v>22</v>
      </c>
      <c r="C27" s="24" t="s">
        <v>75</v>
      </c>
      <c r="D27" s="24">
        <v>9</v>
      </c>
      <c r="E27" s="24">
        <v>10</v>
      </c>
      <c r="F27" s="24"/>
      <c r="G27" s="24"/>
    </row>
    <row r="28" spans="2:7">
      <c r="B28" s="24">
        <v>23</v>
      </c>
      <c r="C28" s="24" t="s">
        <v>76</v>
      </c>
      <c r="D28" s="24">
        <v>2</v>
      </c>
      <c r="E28" s="24">
        <v>1</v>
      </c>
      <c r="F28" s="24"/>
      <c r="G28" s="24"/>
    </row>
    <row r="29" spans="2:7">
      <c r="B29" s="24">
        <v>24</v>
      </c>
      <c r="C29" s="24" t="s">
        <v>77</v>
      </c>
      <c r="D29" s="24">
        <v>0.8</v>
      </c>
      <c r="E29" s="24">
        <v>0.5</v>
      </c>
      <c r="F29" s="24"/>
      <c r="G29" s="24"/>
    </row>
    <row r="30" spans="2:7" ht="13.5" thickBot="1">
      <c r="B30" s="24">
        <v>25</v>
      </c>
      <c r="C30" s="30" t="s">
        <v>78</v>
      </c>
      <c r="D30" s="30">
        <v>2.5</v>
      </c>
      <c r="E30" s="30">
        <v>2</v>
      </c>
      <c r="F30" s="24"/>
      <c r="G30" s="24"/>
    </row>
    <row r="31" spans="2:7">
      <c r="C31" s="35" t="s">
        <v>85</v>
      </c>
      <c r="D31" s="33">
        <f>SUM(D6:D30)</f>
        <v>71.600000000000009</v>
      </c>
      <c r="E31" s="31">
        <f>SUM(E6:E30)</f>
        <v>89.3</v>
      </c>
    </row>
    <row r="32" spans="2:7" ht="13.5" thickBot="1">
      <c r="C32" s="36" t="s">
        <v>86</v>
      </c>
      <c r="D32" s="34">
        <f>D31/24</f>
        <v>2.9833333333333338</v>
      </c>
      <c r="E32" s="32">
        <f>E31/24</f>
        <v>3.7208333333333332</v>
      </c>
    </row>
    <row r="34" spans="1:1">
      <c r="A34" t="s">
        <v>96</v>
      </c>
    </row>
    <row r="35" spans="1:1">
      <c r="A35" t="s">
        <v>88</v>
      </c>
    </row>
    <row r="36" spans="1:1">
      <c r="A36" t="s">
        <v>98</v>
      </c>
    </row>
    <row r="37" spans="1:1">
      <c r="A37" t="s">
        <v>89</v>
      </c>
    </row>
    <row r="38" spans="1:1">
      <c r="A38" t="s">
        <v>90</v>
      </c>
    </row>
    <row r="39" spans="1:1">
      <c r="A39" t="s">
        <v>97</v>
      </c>
    </row>
    <row r="41" spans="1:1">
      <c r="A41" s="37" t="s">
        <v>99</v>
      </c>
    </row>
    <row r="42" spans="1:1">
      <c r="A42" t="s">
        <v>91</v>
      </c>
    </row>
    <row r="43" spans="1:1">
      <c r="A43" t="s">
        <v>92</v>
      </c>
    </row>
    <row r="44" spans="1:1">
      <c r="A44" t="s">
        <v>93</v>
      </c>
    </row>
    <row r="45" spans="1:1">
      <c r="A45" t="s">
        <v>94</v>
      </c>
    </row>
    <row r="46" spans="1:1">
      <c r="A46" t="s">
        <v>102</v>
      </c>
    </row>
    <row r="47" spans="1:1">
      <c r="A47" t="s">
        <v>95</v>
      </c>
    </row>
  </sheetData>
  <mergeCells count="1">
    <mergeCell ref="A1:H1"/>
  </mergeCells>
  <phoneticPr fontId="0" type="noConversion"/>
  <pageMargins left="0.53" right="0.75" top="0.35" bottom="1" header="0" footer="0"/>
  <pageSetup orientation="portrait"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honeticPr fontId="0" type="noConversion"/>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Empresa Ferroviaria Andina S.A.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Oviedo B.</dc:creator>
  <cp:lastModifiedBy>Hugo Oviedo Bellot</cp:lastModifiedBy>
  <cp:lastPrinted>2012-12-08T15:15:58Z</cp:lastPrinted>
  <dcterms:created xsi:type="dcterms:W3CDTF">2012-11-30T18:27:57Z</dcterms:created>
  <dcterms:modified xsi:type="dcterms:W3CDTF">2014-12-05T15:26:57Z</dcterms:modified>
</cp:coreProperties>
</file>